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47.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0.xml" ContentType="application/vnd.openxmlformats-officedocument.spreadsheetml.revisionLog+xml"/>
  <Override PartName="/xl/revisions/revisionLog22.xml" ContentType="application/vnd.openxmlformats-officedocument.spreadsheetml.revisionLog+xml"/>
  <Override PartName="/xl/revisions/revisionLog43.xml" ContentType="application/vnd.openxmlformats-officedocument.spreadsheetml.revisionLog+xml"/>
  <Override PartName="/xl/revisions/revisionLog5.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1.xml" ContentType="application/vnd.openxmlformats-officedocument.spreadsheetml.revisionLog+xml"/>
  <Override PartName="/xl/revisions/revisionLog26.xml" ContentType="application/vnd.openxmlformats-officedocument.spreadsheetml.revisionLog+xml"/>
  <Override PartName="/xl/revisions/revisionLog34.xml" ContentType="application/vnd.openxmlformats-officedocument.spreadsheetml.revisionLog+xml"/>
  <Override PartName="/xl/revisions/revisionLog39.xml" ContentType="application/vnd.openxmlformats-officedocument.spreadsheetml.revisionLog+xml"/>
  <Override PartName="/xl/revisions/revisionLog42.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7.xml" ContentType="application/vnd.openxmlformats-officedocument.spreadsheetml.revisionLog+xml"/>
  <Override PartName="/xl/revisions/revisionLog30.xml" ContentType="application/vnd.openxmlformats-officedocument.spreadsheetml.revisionLog+xml"/>
  <Override PartName="/xl/revisions/revisionLog38.xml" ContentType="application/vnd.openxmlformats-officedocument.spreadsheetml.revisionLog+xml"/>
  <Override PartName="/xl/revisions/revisionLog12.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41.xml" ContentType="application/vnd.openxmlformats-officedocument.spreadsheetml.revisionLog+xml"/>
  <Override PartName="/xl/revisions/revisionLog46.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11.xml" ContentType="application/vnd.openxmlformats-officedocument.spreadsheetml.revisionLog+xml"/>
  <Override PartName="/xl/revisions/revisionLog16.xml" ContentType="application/vnd.openxmlformats-officedocument.spreadsheetml.revisionLog+xml"/>
  <Override PartName="/xl/revisions/revisionLog24.xml" ContentType="application/vnd.openxmlformats-officedocument.spreadsheetml.revisionLog+xml"/>
  <Override PartName="/xl/revisions/revisionLog29.xml" ContentType="application/vnd.openxmlformats-officedocument.spreadsheetml.revisionLog+xml"/>
  <Override PartName="/xl/revisions/revisionLog37.xml" ContentType="application/vnd.openxmlformats-officedocument.spreadsheetml.revisionLog+xml"/>
  <Override PartName="/xl/revisions/revisionLog45.xml" ContentType="application/vnd.openxmlformats-officedocument.spreadsheetml.revisionLog+xml"/>
  <Override PartName="/xl/revisions/revisionLog7.xml" ContentType="application/vnd.openxmlformats-officedocument.spreadsheetml.revisionLog+xml"/>
  <Override PartName="/xl/revisions/revisionLog20.xml" ContentType="application/vnd.openxmlformats-officedocument.spreadsheetml.revisionLog+xml"/>
  <Override PartName="/xl/revisions/revisionLog28.xml" ContentType="application/vnd.openxmlformats-officedocument.spreadsheetml.revisionLog+xml"/>
  <Override PartName="/xl/revisions/revisionLog32.xml" ContentType="application/vnd.openxmlformats-officedocument.spreadsheetml.revisionLog+xml"/>
  <Override PartName="/xl/revisions/revisionLog2.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31.xml" ContentType="application/vnd.openxmlformats-officedocument.spreadsheetml.revisionLog+xml"/>
  <Override PartName="/xl/revisions/revisionLog36.xml" ContentType="application/vnd.openxmlformats-officedocument.spreadsheetml.revisionLog+xml"/>
  <Override PartName="/xl/revisions/revisionLog44.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Override PartName="/xl/revisions/revisionLog27.xml" ContentType="application/vnd.openxmlformats-officedocument.spreadsheetml.revisionLog+xml"/>
  <Override PartName="/xl/revisions/revisionLog35.xml" ContentType="application/vnd.openxmlformats-officedocument.spreadsheetml.revisionLog+xml"/>
  <Override PartName="/xl/revisions/revisionLog4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0\Prezentacja 3Q 2020\"/>
    </mc:Choice>
  </mc:AlternateContent>
  <bookViews>
    <workbookView xWindow="0" yWindow="0" windowWidth="9600" windowHeight="3300" firstSheet="13" activeTab="19"/>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Jakość należności od klientów " sheetId="19" r:id="rId18"/>
    <sheet name="Arkusz2" sheetId="20" state="hidden" r:id="rId19"/>
    <sheet name="Wybrane dane niefinansowe " sheetId="18"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BS!$C$1:$D$50</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PrintArea" localSheetId="1" hidden="1">BS!$A$1:$P$50</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746490BF_9C44_4B41_8803_BEC9E453576A_.wvu.Cols" localSheetId="12" hidden="1">'Aktywa i zobow. fin. do obrotu'!$M:$P</definedName>
    <definedName name="Z_746490BF_9C44_4B41_8803_BEC9E453576A_.wvu.PrintArea" localSheetId="1" hidden="1">BS!$A$1:$P$50</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BS!$A$1:$P$50</definedName>
    <definedName name="Z_899D69CD_4B7E_42BC_9944_5BD922EB798C_.wvu.Rows" localSheetId="7" hidden="1">'Należności od klientów'!$8:$8</definedName>
    <definedName name="Z_8DA78CF1_615A_4626_9893_6751995631A4_.wvu.Cols" localSheetId="12" hidden="1">'Aktywa i zobow. fin. do obrotu'!$M:$P</definedName>
    <definedName name="Z_8DA78CF1_615A_4626_9893_6751995631A4_.wvu.PrintArea" localSheetId="1" hidden="1">BS!$A$1:$P$50</definedName>
    <definedName name="Z_8DA78CF1_615A_4626_9893_6751995631A4_.wvu.Rows" localSheetId="1" hidden="1">BS!#REF!</definedName>
    <definedName name="Z_8DA78CF1_615A_4626_9893_6751995631A4_.wvu.Rows" localSheetId="0" hidden="1">'P&amp;L'!#REF!</definedName>
    <definedName name="Z_9788B417_CC07_4FDA_845B_D10161BBB5F4_.wvu.Rows" localSheetId="19" hidden="1">'Wybrane dane niefinansowe '!#REF!,'Wybrane dane niefinansowe '!#REF!</definedName>
    <definedName name="Z_9AF4A83C_CF57_4B40_8A74_6A0EA6C2FE5C_.wvu.Cols" localSheetId="12" hidden="1">'Aktywa i zobow. fin. do obrotu'!$D:$N,'Aktywa i zobow. fin. do obrotu'!$P:$P</definedName>
    <definedName name="Z_9AF4A83C_CF57_4B40_8A74_6A0EA6C2FE5C_.wvu.Cols" localSheetId="1" hidden="1">BS!$D:$O</definedName>
    <definedName name="Z_9AF4A83C_CF57_4B40_8A74_6A0EA6C2FE5C_.wvu.Cols" localSheetId="8" hidden="1">'Inwestycyjne aktywa finansowe'!$C:$O</definedName>
    <definedName name="Z_9AF4A83C_CF57_4B40_8A74_6A0EA6C2FE5C_.wvu.Cols" localSheetId="0" hidden="1">'P&amp;L'!$C:$J</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Dowżycka Agnieszka - Widok osobisty" guid="{746490BF-9C44-4B41-8803-BEC9E453576A}" mergeInterval="0" personalView="1" xWindow="5" windowWidth="1897" windowHeight="1040" activeSheetId="18"/>
    <customWorkbookView name="Stadler Dorota - Widok osobisty" guid="{9AF4A83C-CF57-4B40-8A74-6A0EA6C2FE5C}" mergeInterval="0" personalView="1" maximized="1" xWindow="1912" yWindow="-8" windowWidth="1696" windowHeight="1026" activeSheetId="2"/>
    <customWorkbookView name="Chudyma Marta - Widok osobisty" guid="{899D69CD-4B7E-42BC-9944-5BD922EB798C}" mergeInterval="0" personalView="1" xWindow="38" yWindow="8" windowWidth="1600" windowHeight="981" tabRatio="655" activeSheetId="2"/>
    <customWorkbookView name="Kosowska Bożena - Widok osobisty" guid="{25FAB884-5E17-4008-8139-33D910C7DEFE}" mergeInterval="0" personalView="1" maximized="1" xWindow="-1928" yWindow="242" windowWidth="1552" windowHeight="840" tabRatio="655" activeSheetId="7"/>
    <customWorkbookView name="Dziadczyk Marzena - Widok osobisty" guid="{8DA78CF1-615A-4626-9893-6751995631A4}" mergeInterval="0" personalView="1" maximized="1" xWindow="-11" yWindow="-11" windowWidth="1942" windowHeight="1042" tabRatio="820" activeSheetId="5"/>
    <customWorkbookView name="Cieciura Dorota - Widok osobisty" guid="{57267270-6A97-4850-9DB6-FE6B399379AA}" mergeInterval="0" personalView="1" maximized="1" xWindow="-9" yWindow="-9" windowWidth="1938" windowHeight="1048" activeSheetId="11"/>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złowska Agnieszka B - Widok osobisty" guid="{687A4863-1825-4D63-B732-E76682E6DE4F}" mergeInterval="0" personalView="1" xWindow="36" yWindow="84" windowWidth="1918" windowHeight="970" tabRatio="820" activeSheetId="17"/>
    <customWorkbookView name="Słaba Dorota - Widok osobisty" guid="{12F8D032-8143-430B-8DFF-852E8796C402}" mergeInterval="0" personalView="1" maximized="1" xWindow="-11" yWindow="-11" windowWidth="1942" windowHeight="1042" activeSheetId="1"/>
  </customWorkbookViews>
</workbook>
</file>

<file path=xl/calcChain.xml><?xml version="1.0" encoding="utf-8"?>
<calcChain xmlns="http://schemas.openxmlformats.org/spreadsheetml/2006/main">
  <c r="Q16" i="11" l="1"/>
  <c r="M18" i="10" l="1"/>
  <c r="M13" i="10"/>
  <c r="M8" i="10"/>
  <c r="M3" i="10"/>
  <c r="Q10" i="8"/>
  <c r="Q12" i="8" s="1"/>
  <c r="M23" i="10" l="1"/>
  <c r="Q10" i="6"/>
  <c r="Q13" i="14" l="1"/>
  <c r="Q12" i="15"/>
  <c r="Q13" i="11"/>
  <c r="Q7" i="11"/>
  <c r="Q3" i="11"/>
  <c r="Q17" i="11" l="1"/>
  <c r="N12" i="15" l="1"/>
  <c r="Q49" i="4" l="1"/>
  <c r="Q48" i="4"/>
  <c r="Q47" i="4"/>
  <c r="Q58" i="4" s="1"/>
  <c r="Q46" i="4"/>
  <c r="Q64" i="4" s="1"/>
  <c r="Q45" i="4"/>
  <c r="Q56" i="4" s="1"/>
  <c r="Q44" i="4"/>
  <c r="Q57" i="4" s="1"/>
  <c r="Q43" i="4"/>
  <c r="Q41" i="4"/>
  <c r="Q62" i="4" s="1"/>
  <c r="Q40" i="4"/>
  <c r="Q61" i="4" s="1"/>
  <c r="Q39" i="4"/>
  <c r="Q59" i="4" s="1"/>
  <c r="Q38" i="4"/>
  <c r="Q37" i="4"/>
  <c r="Q36" i="4"/>
  <c r="Q54" i="4" s="1"/>
  <c r="Q16" i="4"/>
  <c r="Q50" i="4" l="1"/>
  <c r="Q65" i="4" s="1"/>
  <c r="Q42" i="4"/>
  <c r="Q63" i="4"/>
  <c r="Q60" i="4"/>
  <c r="Q31" i="4"/>
  <c r="Q33" i="4" s="1"/>
  <c r="R38" i="13"/>
  <c r="R27" i="13"/>
  <c r="R32" i="13" s="1"/>
  <c r="R21" i="13"/>
  <c r="R18" i="13"/>
  <c r="R26" i="13" s="1"/>
  <c r="R35" i="13" s="1"/>
  <c r="R12" i="13"/>
  <c r="R10" i="13"/>
  <c r="R8" i="13"/>
  <c r="R2" i="13"/>
  <c r="R13" i="9"/>
  <c r="R12" i="9"/>
  <c r="R15" i="9"/>
  <c r="R10" i="9"/>
  <c r="R8" i="9"/>
  <c r="R5" i="9"/>
  <c r="Q51" i="4" l="1"/>
  <c r="Q66" i="4"/>
  <c r="R39" i="13"/>
  <c r="R7" i="13"/>
  <c r="R6" i="13" s="1"/>
  <c r="R15" i="13" s="1"/>
  <c r="R22" i="13" s="1"/>
  <c r="R3" i="9"/>
  <c r="R19" i="9" s="1"/>
  <c r="R20" i="9" s="1"/>
  <c r="Q33" i="5" l="1"/>
  <c r="Q31" i="5"/>
  <c r="Q12" i="5"/>
  <c r="Q9" i="5"/>
  <c r="Q12" i="12"/>
  <c r="Q8" i="12"/>
  <c r="Q4" i="12"/>
  <c r="Q6" i="12" s="1"/>
  <c r="Q27" i="3"/>
  <c r="Q22" i="3"/>
  <c r="Q19" i="3"/>
  <c r="Q11" i="3"/>
  <c r="Q10" i="3"/>
  <c r="Q9" i="3"/>
  <c r="Q8" i="3"/>
  <c r="Q7" i="3"/>
  <c r="Q6" i="3"/>
  <c r="Q5" i="3"/>
  <c r="Q4" i="3"/>
  <c r="Q3" i="3"/>
  <c r="Q2" i="3" s="1"/>
  <c r="Q35" i="3" s="1"/>
  <c r="Q11" i="7"/>
  <c r="Q8" i="7"/>
  <c r="Q12" i="7" l="1"/>
  <c r="Q13" i="7" s="1"/>
  <c r="S27" i="2"/>
  <c r="G17" i="2"/>
  <c r="F17" i="2"/>
  <c r="E17" i="2"/>
  <c r="D17" i="2"/>
  <c r="S40" i="2"/>
  <c r="S42" i="2"/>
  <c r="S49" i="2" s="1"/>
  <c r="S50" i="2" l="1"/>
  <c r="P10" i="8"/>
  <c r="P12" i="8" s="1"/>
  <c r="L24" i="10" l="1"/>
  <c r="K24" i="10"/>
  <c r="L18" i="10"/>
  <c r="L13" i="10"/>
  <c r="L8" i="10"/>
  <c r="L3" i="10"/>
  <c r="L23" i="10" l="1"/>
  <c r="P10" i="6"/>
  <c r="P33" i="5" l="1"/>
  <c r="Q10" i="13"/>
  <c r="Q8" i="13"/>
  <c r="Q21" i="13"/>
  <c r="Q18" i="13"/>
  <c r="Q26" i="13" s="1"/>
  <c r="Q35" i="13" s="1"/>
  <c r="Q12" i="13"/>
  <c r="Q10" i="9"/>
  <c r="Q8" i="9"/>
  <c r="P11" i="7" l="1"/>
  <c r="P8" i="7"/>
  <c r="P12" i="7" s="1"/>
  <c r="P13" i="7" s="1"/>
  <c r="Q38" i="13"/>
  <c r="Q27" i="13"/>
  <c r="Q32" i="13" s="1"/>
  <c r="Q7" i="13"/>
  <c r="Q6" i="13" s="1"/>
  <c r="Q2" i="13"/>
  <c r="Q15" i="9"/>
  <c r="Q5" i="9"/>
  <c r="Q3" i="9" s="1"/>
  <c r="P12" i="12"/>
  <c r="P4" i="12"/>
  <c r="P6" i="12" s="1"/>
  <c r="P8" i="12"/>
  <c r="P31" i="5"/>
  <c r="P12" i="5"/>
  <c r="P9" i="5"/>
  <c r="P3" i="3"/>
  <c r="P4" i="3"/>
  <c r="P5" i="3"/>
  <c r="P6" i="3"/>
  <c r="P7" i="3"/>
  <c r="P8" i="3"/>
  <c r="P9" i="3"/>
  <c r="P10" i="3"/>
  <c r="Q19" i="9" l="1"/>
  <c r="Q20" i="9" s="1"/>
  <c r="Q15" i="13"/>
  <c r="Q22" i="13" s="1"/>
  <c r="Q39" i="13"/>
  <c r="P27" i="3"/>
  <c r="P22" i="3"/>
  <c r="P19" i="3"/>
  <c r="P11" i="3"/>
  <c r="P2" i="3"/>
  <c r="P35" i="3" l="1"/>
  <c r="P12" i="15" l="1"/>
  <c r="P13" i="14" l="1"/>
  <c r="O17" i="11"/>
  <c r="O13" i="11"/>
  <c r="P13" i="11"/>
  <c r="O7" i="11"/>
  <c r="P7" i="11"/>
  <c r="O3" i="11"/>
  <c r="P3" i="11"/>
  <c r="P49" i="4"/>
  <c r="P48" i="4"/>
  <c r="P47" i="4"/>
  <c r="P46" i="4"/>
  <c r="P45" i="4"/>
  <c r="P44" i="4"/>
  <c r="P43" i="4"/>
  <c r="P42" i="4"/>
  <c r="P41" i="4"/>
  <c r="P40" i="4"/>
  <c r="P39" i="4"/>
  <c r="P38" i="4"/>
  <c r="P37" i="4"/>
  <c r="P17" i="11" l="1"/>
  <c r="P30" i="4" l="1"/>
  <c r="P50" i="4" s="1"/>
  <c r="P51" i="4" s="1"/>
  <c r="P64" i="4"/>
  <c r="P63" i="4"/>
  <c r="P62" i="4"/>
  <c r="P61" i="4"/>
  <c r="P60" i="4"/>
  <c r="P59" i="4"/>
  <c r="P58" i="4"/>
  <c r="P57" i="4"/>
  <c r="P56" i="4"/>
  <c r="P36" i="4"/>
  <c r="P54" i="4" s="1"/>
  <c r="P31" i="4"/>
  <c r="P16" i="4"/>
  <c r="P65" i="4" l="1"/>
  <c r="P66" i="4" s="1"/>
  <c r="P33" i="4"/>
  <c r="K11" i="15" l="1"/>
  <c r="S16" i="18" l="1"/>
  <c r="K3" i="10" l="1"/>
  <c r="K13" i="10"/>
  <c r="K8" i="10"/>
  <c r="K18" i="10"/>
  <c r="O10" i="8"/>
  <c r="O12" i="8" s="1"/>
  <c r="K23" i="10" l="1"/>
  <c r="O10" i="6"/>
  <c r="N17" i="11" l="1"/>
  <c r="O12" i="15"/>
  <c r="O13" i="14" l="1"/>
  <c r="O17" i="3" l="1"/>
  <c r="O15" i="3"/>
  <c r="O13" i="3"/>
  <c r="O29" i="3"/>
  <c r="O28" i="3"/>
  <c r="O24" i="3" l="1"/>
  <c r="O4" i="3" s="1"/>
  <c r="O12" i="12" l="1"/>
  <c r="O8" i="12"/>
  <c r="O2" i="12"/>
  <c r="O4" i="12" s="1"/>
  <c r="O6" i="12" s="1"/>
  <c r="O35" i="5"/>
  <c r="O33" i="5" s="1"/>
  <c r="O28" i="5"/>
  <c r="O31" i="5" s="1"/>
  <c r="O12" i="5"/>
  <c r="O9" i="5"/>
  <c r="O5" i="3" l="1"/>
  <c r="O22" i="3"/>
  <c r="O7" i="3"/>
  <c r="O8" i="3"/>
  <c r="O9" i="3"/>
  <c r="O10" i="3"/>
  <c r="O11" i="3"/>
  <c r="O27" i="3" l="1"/>
  <c r="O6" i="3"/>
  <c r="O19" i="3"/>
  <c r="O3" i="3"/>
  <c r="O2" i="3" s="1"/>
  <c r="O35" i="3" l="1"/>
  <c r="H10" i="6" l="1"/>
  <c r="I10" i="6"/>
  <c r="J10" i="6"/>
  <c r="K10" i="6"/>
  <c r="L10" i="6"/>
  <c r="M10" i="6"/>
  <c r="N10" i="6"/>
  <c r="C7" i="11" l="1"/>
  <c r="D7" i="11"/>
  <c r="E7" i="11"/>
  <c r="F7" i="11"/>
  <c r="G7" i="11"/>
  <c r="H7" i="11"/>
  <c r="I7" i="11"/>
  <c r="J7" i="11"/>
  <c r="K7" i="11"/>
  <c r="L7" i="11"/>
  <c r="M7" i="11"/>
  <c r="N7" i="11"/>
  <c r="C13" i="11"/>
  <c r="D13" i="11"/>
  <c r="E13" i="11"/>
  <c r="F13" i="11"/>
  <c r="G13" i="11"/>
  <c r="H13" i="11"/>
  <c r="I13" i="11"/>
  <c r="J13" i="11"/>
  <c r="K13" i="11"/>
  <c r="L13" i="11"/>
  <c r="M13" i="11"/>
  <c r="N13" i="11"/>
  <c r="O56" i="4"/>
  <c r="O57" i="4"/>
  <c r="O58" i="4"/>
  <c r="O59" i="4"/>
  <c r="O60" i="4"/>
  <c r="O61" i="4"/>
  <c r="O62" i="4"/>
  <c r="O63" i="4"/>
  <c r="O64" i="4"/>
  <c r="O65" i="4"/>
  <c r="O30" i="4"/>
  <c r="O51" i="4" l="1"/>
  <c r="O36" i="4"/>
  <c r="O54" i="4" s="1"/>
  <c r="O31" i="4"/>
  <c r="O16" i="4"/>
  <c r="O66" i="4" l="1"/>
  <c r="O33" i="4"/>
  <c r="P38" i="13" l="1"/>
  <c r="P27" i="13"/>
  <c r="P32" i="13" s="1"/>
  <c r="P21" i="13"/>
  <c r="P18" i="13"/>
  <c r="P26" i="13" s="1"/>
  <c r="P35" i="13" s="1"/>
  <c r="P12" i="13"/>
  <c r="P10" i="13"/>
  <c r="P8" i="13"/>
  <c r="P2" i="13"/>
  <c r="P15" i="9"/>
  <c r="P10" i="9"/>
  <c r="P8" i="9"/>
  <c r="P5" i="9"/>
  <c r="P7" i="13" l="1"/>
  <c r="P6" i="13" s="1"/>
  <c r="P15" i="13" s="1"/>
  <c r="P3" i="9"/>
  <c r="P19" i="9" s="1"/>
  <c r="O11" i="7" l="1"/>
  <c r="O8" i="7"/>
  <c r="O12" i="7" l="1"/>
  <c r="P39" i="13" l="1"/>
  <c r="P20" i="9"/>
  <c r="P22" i="13"/>
  <c r="O13" i="7" l="1"/>
  <c r="G17" i="19" l="1"/>
  <c r="G16" i="19"/>
  <c r="G15" i="19"/>
  <c r="C2" i="3" l="1"/>
  <c r="D2" i="3"/>
  <c r="E2" i="3"/>
  <c r="F2" i="3"/>
  <c r="H6" i="3"/>
  <c r="I6" i="3"/>
  <c r="J6" i="3"/>
  <c r="K6" i="3"/>
  <c r="L6" i="3"/>
  <c r="M6" i="3"/>
  <c r="N6" i="3"/>
  <c r="G6" i="3"/>
  <c r="H7" i="3"/>
  <c r="I7" i="3"/>
  <c r="J7" i="3"/>
  <c r="K7" i="3"/>
  <c r="L7" i="3"/>
  <c r="M7" i="3"/>
  <c r="N7" i="3"/>
  <c r="G7" i="3"/>
  <c r="N11" i="8" l="1"/>
  <c r="F10" i="9"/>
  <c r="E31" i="13" l="1"/>
  <c r="C31" i="13"/>
  <c r="D31" i="13"/>
  <c r="F31" i="13"/>
  <c r="G31" i="13"/>
  <c r="H31" i="13"/>
  <c r="I31" i="13"/>
  <c r="J31" i="13"/>
  <c r="K31" i="13"/>
  <c r="L31" i="13"/>
  <c r="M31" i="13"/>
  <c r="G15" i="9" l="1"/>
  <c r="G8" i="9"/>
  <c r="G5" i="9"/>
  <c r="G10" i="9"/>
  <c r="G21" i="13"/>
  <c r="G12" i="13"/>
  <c r="G10" i="13"/>
  <c r="G8" i="13"/>
  <c r="G2" i="13"/>
  <c r="G38" i="13"/>
  <c r="G27" i="13"/>
  <c r="G7" i="13" l="1"/>
  <c r="G6" i="13" s="1"/>
  <c r="G15" i="13" s="1"/>
  <c r="G3" i="9"/>
  <c r="G19" i="9" s="1"/>
  <c r="G20" i="9" s="1"/>
  <c r="G32" i="13"/>
  <c r="G39" i="13" s="1"/>
  <c r="F11" i="10" l="1"/>
  <c r="F8" i="10"/>
  <c r="G21" i="9"/>
  <c r="F18" i="10"/>
  <c r="F13" i="10"/>
  <c r="F3" i="10"/>
  <c r="F23" i="10" l="1"/>
  <c r="J18" i="10" l="1"/>
  <c r="J13" i="10"/>
  <c r="J3" i="10"/>
  <c r="J8" i="10"/>
  <c r="N10" i="8"/>
  <c r="N12" i="8" s="1"/>
  <c r="J23" i="10" l="1"/>
  <c r="N3" i="11" l="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K3" i="3"/>
  <c r="J3" i="3"/>
  <c r="I3" i="3"/>
  <c r="H3" i="3"/>
  <c r="G3" i="3"/>
  <c r="N5" i="3"/>
  <c r="N10" i="3"/>
  <c r="N9" i="3"/>
  <c r="N8" i="3"/>
  <c r="N4" i="3"/>
  <c r="N3" i="3"/>
  <c r="J2" i="3" l="1"/>
  <c r="G2" i="3"/>
  <c r="K2" i="3"/>
  <c r="H2" i="3"/>
  <c r="L2" i="3"/>
  <c r="N2" i="3"/>
  <c r="I2" i="3"/>
  <c r="M2" i="3"/>
  <c r="N12" i="12" l="1"/>
  <c r="N4" i="12"/>
  <c r="N6" i="12" s="1"/>
  <c r="N8" i="12"/>
  <c r="O38" i="13"/>
  <c r="O27" i="13"/>
  <c r="O32" i="13" s="1"/>
  <c r="O21" i="13"/>
  <c r="O18" i="13"/>
  <c r="O26" i="13" s="1"/>
  <c r="O35" i="13" s="1"/>
  <c r="O12" i="13"/>
  <c r="O10" i="13"/>
  <c r="O8" i="13"/>
  <c r="O2" i="13"/>
  <c r="O15" i="9"/>
  <c r="O10" i="9"/>
  <c r="O8" i="9"/>
  <c r="O5" i="9"/>
  <c r="N12" i="5"/>
  <c r="N9" i="5"/>
  <c r="N11" i="3"/>
  <c r="N19" i="3"/>
  <c r="N22" i="3"/>
  <c r="O3" i="9" l="1"/>
  <c r="O39" i="13"/>
  <c r="O7" i="13"/>
  <c r="O6" i="13" s="1"/>
  <c r="O15" i="13" s="1"/>
  <c r="O22" i="13" s="1"/>
  <c r="N27" i="3"/>
  <c r="N35" i="3" s="1"/>
  <c r="N33" i="5"/>
  <c r="N31" i="5"/>
  <c r="N11" i="7"/>
  <c r="N8" i="7"/>
  <c r="N12" i="7" s="1"/>
  <c r="O19" i="9" l="1"/>
  <c r="O20" i="9" s="1"/>
  <c r="M63" i="4"/>
  <c r="N56" i="4"/>
  <c r="M56" i="4"/>
  <c r="M57" i="4"/>
  <c r="N57" i="4"/>
  <c r="M58" i="4"/>
  <c r="N58" i="4"/>
  <c r="M59" i="4"/>
  <c r="N59" i="4"/>
  <c r="M60" i="4"/>
  <c r="N60" i="4"/>
  <c r="M61" i="4"/>
  <c r="N61" i="4"/>
  <c r="M62" i="4"/>
  <c r="N62" i="4"/>
  <c r="N63" i="4"/>
  <c r="M64" i="4"/>
  <c r="N64" i="4"/>
  <c r="M65" i="4"/>
  <c r="N65" i="4"/>
  <c r="N36" i="4" l="1"/>
  <c r="N54" i="4" s="1"/>
  <c r="N51" i="4"/>
  <c r="N66" i="4"/>
  <c r="N31" i="4"/>
  <c r="N16" i="4" l="1"/>
  <c r="N33" i="4" s="1"/>
  <c r="F17" i="19" l="1"/>
  <c r="F16" i="19"/>
  <c r="F15" i="19"/>
  <c r="I3" i="10" l="1"/>
  <c r="E18" i="10"/>
  <c r="I18" i="10"/>
  <c r="I13" i="10"/>
  <c r="I8" i="10"/>
  <c r="E13" i="10"/>
  <c r="E8" i="10"/>
  <c r="E3" i="10"/>
  <c r="I23" i="10" l="1"/>
  <c r="I24" i="10" s="1"/>
  <c r="E23" i="10"/>
  <c r="E24" i="10" s="1"/>
  <c r="M12" i="12" l="1"/>
  <c r="M8" i="12"/>
  <c r="M4" i="12"/>
  <c r="M6" i="12" s="1"/>
  <c r="M27" i="3" l="1"/>
  <c r="M22" i="3"/>
  <c r="M19" i="3"/>
  <c r="M11" i="3"/>
  <c r="M35" i="3"/>
  <c r="M10" i="8"/>
  <c r="M12" i="8" s="1"/>
  <c r="M12" i="5" l="1"/>
  <c r="M33" i="5"/>
  <c r="M31" i="5"/>
  <c r="M9" i="5"/>
  <c r="M11" i="7" l="1"/>
  <c r="M8" i="7"/>
  <c r="M12" i="7" l="1"/>
  <c r="M13" i="7" s="1"/>
  <c r="N15" i="9"/>
  <c r="N10" i="9"/>
  <c r="N8" i="9"/>
  <c r="N5" i="9"/>
  <c r="N3" i="9" l="1"/>
  <c r="N19" i="9" s="1"/>
  <c r="L50" i="4"/>
  <c r="L49" i="4"/>
  <c r="L48" i="4"/>
  <c r="L47" i="4"/>
  <c r="L58" i="4" s="1"/>
  <c r="L46" i="4"/>
  <c r="L64" i="4" s="1"/>
  <c r="L45" i="4"/>
  <c r="L56" i="4" s="1"/>
  <c r="L44" i="4"/>
  <c r="L57" i="4" s="1"/>
  <c r="L43" i="4"/>
  <c r="L42" i="4"/>
  <c r="L41" i="4"/>
  <c r="L62" i="4" s="1"/>
  <c r="L40" i="4"/>
  <c r="L61" i="4" s="1"/>
  <c r="L39" i="4"/>
  <c r="L59" i="4" s="1"/>
  <c r="L38" i="4"/>
  <c r="L37" i="4"/>
  <c r="L60" i="4" s="1"/>
  <c r="L31" i="4"/>
  <c r="L63" i="4" l="1"/>
  <c r="N20" i="9"/>
  <c r="L65" i="4"/>
  <c r="L51" i="4"/>
  <c r="L66" i="4" l="1"/>
  <c r="M31" i="4"/>
  <c r="L16" i="4" l="1"/>
  <c r="L33" i="4" s="1"/>
  <c r="M12" i="15"/>
  <c r="M13" i="14"/>
  <c r="D13" i="14"/>
  <c r="E13" i="14"/>
  <c r="F13" i="14"/>
  <c r="G13" i="14"/>
  <c r="H13" i="14"/>
  <c r="I13" i="14"/>
  <c r="J13" i="14"/>
  <c r="K13" i="14"/>
  <c r="L13" i="14"/>
  <c r="M51" i="4" l="1"/>
  <c r="M16" i="4"/>
  <c r="M33" i="4" s="1"/>
  <c r="M3" i="11"/>
  <c r="M66" i="4" l="1"/>
  <c r="M17" i="11"/>
  <c r="N38" i="13" l="1"/>
  <c r="N27" i="13"/>
  <c r="N32" i="13" s="1"/>
  <c r="N39" i="13" s="1"/>
  <c r="N2" i="13"/>
  <c r="N8" i="13"/>
  <c r="N10" i="13"/>
  <c r="N12" i="13"/>
  <c r="N18" i="13"/>
  <c r="N26" i="13" s="1"/>
  <c r="N35" i="13" s="1"/>
  <c r="N21" i="13"/>
  <c r="D10" i="13"/>
  <c r="E10" i="13"/>
  <c r="F10" i="13"/>
  <c r="H10" i="13"/>
  <c r="I10" i="13"/>
  <c r="J10" i="13"/>
  <c r="K10" i="13"/>
  <c r="L10" i="13"/>
  <c r="M10" i="13"/>
  <c r="C10" i="13"/>
  <c r="N7" i="13" l="1"/>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22" i="3" l="1"/>
  <c r="L4" i="12" l="1"/>
  <c r="L6" i="12" s="1"/>
  <c r="L12" i="12"/>
  <c r="I54" i="4" l="1"/>
  <c r="K54" i="4"/>
  <c r="E54" i="4"/>
  <c r="C35" i="13" l="1"/>
  <c r="M18" i="13"/>
  <c r="M26" i="13" s="1"/>
  <c r="M35" i="13" s="1"/>
  <c r="M12" i="13"/>
  <c r="M8" i="13"/>
  <c r="M7" i="13" l="1"/>
  <c r="M38" i="13"/>
  <c r="M27" i="13"/>
  <c r="M21" i="13"/>
  <c r="M6" i="13"/>
  <c r="M2" i="13"/>
  <c r="M15" i="13" l="1"/>
  <c r="M22" i="13" s="1"/>
  <c r="L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I65" i="4" l="1"/>
  <c r="G65" i="4"/>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5" i="9"/>
  <c r="L11" i="7"/>
  <c r="L8" i="7"/>
  <c r="M3" i="9"/>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M19" i="9" l="1"/>
  <c r="M20" i="9" s="1"/>
  <c r="L12" i="7"/>
  <c r="L13" i="7" s="1"/>
  <c r="C23" i="10"/>
  <c r="C24" i="10" s="1"/>
  <c r="G23" i="10"/>
  <c r="G24" i="10" s="1"/>
  <c r="G10" i="6"/>
  <c r="L15" i="9" l="1"/>
  <c r="H15" i="9"/>
  <c r="F8" i="7" l="1"/>
  <c r="E8" i="7"/>
  <c r="D8" i="7"/>
  <c r="C8" i="7"/>
  <c r="K8" i="7"/>
  <c r="J8" i="7"/>
  <c r="I8" i="7"/>
  <c r="H8" i="7"/>
  <c r="G8" i="7"/>
  <c r="F11" i="7"/>
  <c r="E11" i="7"/>
  <c r="D11" i="7"/>
  <c r="C11" i="7"/>
  <c r="F16" i="9"/>
  <c r="F4" i="9"/>
  <c r="D12" i="7" l="1"/>
  <c r="D13" i="7" s="1"/>
  <c r="C12" i="7"/>
  <c r="C13" i="7" s="1"/>
  <c r="E12" i="7"/>
  <c r="E13" i="7" s="1"/>
  <c r="F12" i="7"/>
  <c r="F13" i="7" s="1"/>
  <c r="F19" i="9"/>
  <c r="F20" i="9" s="1"/>
  <c r="E4" i="9"/>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F7" i="13"/>
  <c r="F6" i="13" s="1"/>
  <c r="C7" i="13"/>
  <c r="C6" i="13" s="1"/>
  <c r="C15" i="13" s="1"/>
  <c r="C22" i="13" s="1"/>
  <c r="E7" i="13"/>
  <c r="K7" i="13"/>
  <c r="K6" i="13" s="1"/>
  <c r="J7" i="13"/>
  <c r="J6" i="13" s="1"/>
  <c r="I7" i="13"/>
  <c r="I6" i="13" s="1"/>
  <c r="H6" i="13"/>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6" i="9" l="1"/>
  <c r="C10" i="9"/>
  <c r="C5" i="9"/>
  <c r="C4" i="9" l="1"/>
  <c r="C19" i="9" s="1"/>
  <c r="C20" i="9" s="1"/>
  <c r="D16" i="9" l="1"/>
  <c r="D10" i="9"/>
  <c r="D5" i="9"/>
  <c r="D4" i="9" l="1"/>
  <c r="D19" i="9" s="1"/>
  <c r="D20" i="9" s="1"/>
  <c r="E16" i="9" l="1"/>
  <c r="E19" i="9" s="1"/>
  <c r="E20" i="9" s="1"/>
  <c r="E10" i="9"/>
  <c r="E8" i="9"/>
  <c r="H12" i="9" l="1"/>
  <c r="H8" i="9"/>
  <c r="H10" i="9" l="1"/>
  <c r="H3" i="9" s="1"/>
  <c r="H19" i="9" s="1"/>
  <c r="H20" i="9" s="1"/>
  <c r="I12" i="9"/>
  <c r="I15" i="9"/>
  <c r="I10" i="9"/>
  <c r="I8" i="9"/>
  <c r="I3" i="9" l="1"/>
  <c r="J12" i="9"/>
  <c r="I19" i="9" l="1"/>
  <c r="I20" i="9" s="1"/>
  <c r="J15" i="9"/>
  <c r="J10" i="9"/>
  <c r="J8" i="9"/>
  <c r="J3" i="9" l="1"/>
  <c r="J19" i="9" s="1"/>
  <c r="J20" i="9" l="1"/>
  <c r="C9" i="5"/>
  <c r="K9" i="5"/>
  <c r="J9" i="5"/>
  <c r="I9" i="5"/>
  <c r="H9" i="5"/>
  <c r="G9" i="5"/>
  <c r="F9" i="5"/>
  <c r="E9" i="5"/>
  <c r="D9" i="5"/>
  <c r="K3" i="11"/>
  <c r="J3" i="11"/>
  <c r="J17" i="11" s="1"/>
  <c r="I3" i="11"/>
  <c r="I17" i="11" s="1"/>
  <c r="H3" i="11"/>
  <c r="G3" i="11"/>
  <c r="G17" i="11" s="1"/>
  <c r="F3" i="11"/>
  <c r="E3" i="11"/>
  <c r="D3" i="11"/>
  <c r="D17" i="11" s="1"/>
  <c r="C3" i="11"/>
  <c r="C17" i="11" s="1"/>
  <c r="K15" i="9"/>
  <c r="K12" i="9"/>
  <c r="K10" i="9"/>
  <c r="K8" i="9"/>
  <c r="K3" i="9" s="1"/>
  <c r="L12" i="9"/>
  <c r="L10" i="9"/>
  <c r="L8" i="9"/>
  <c r="K19" i="9" l="1"/>
  <c r="K20" i="9" s="1"/>
  <c r="E17" i="11"/>
  <c r="F17" i="11"/>
  <c r="L3" i="9"/>
  <c r="L19" i="9" s="1"/>
  <c r="K17" i="11"/>
  <c r="H17" i="11"/>
  <c r="C13" i="14"/>
  <c r="L20" i="9" l="1"/>
  <c r="G12" i="15"/>
  <c r="K12"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J12" i="8"/>
  <c r="F35" i="3"/>
  <c r="C35" i="3"/>
  <c r="D35" i="3"/>
  <c r="E35" i="3"/>
  <c r="E10" i="8"/>
  <c r="E12" i="8" s="1"/>
  <c r="L12" i="15" l="1"/>
  <c r="N13" i="7" l="1"/>
  <c r="J24" i="10" l="1"/>
  <c r="M32" i="13" l="1"/>
  <c r="M39" i="13" s="1"/>
  <c r="E32" i="13"/>
  <c r="E39" i="13" s="1"/>
  <c r="D32" i="13"/>
  <c r="D39" i="13" s="1"/>
  <c r="C32" i="13"/>
  <c r="C39" i="13" s="1"/>
</calcChain>
</file>

<file path=xl/sharedStrings.xml><?xml version="1.0" encoding="utf-8"?>
<sst xmlns="http://schemas.openxmlformats.org/spreadsheetml/2006/main" count="1170" uniqueCount="699">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</sst>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91">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62">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left" vertical="center"/>
    </xf>
    <xf numFmtId="0" fontId="52" fillId="0" borderId="0" xfId="0" applyFont="1" applyAlignment="1">
      <alignment horizontal="left" vertical="center" wrapText="1" shrinkToFit="1"/>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0" fontId="52" fillId="0" borderId="0" xfId="0" applyFont="1" applyAlignment="1">
      <alignment horizontal="left" vertical="center" wrapText="1" indent="1" shrinkToFit="1"/>
    </xf>
    <xf numFmtId="0" fontId="52" fillId="0" borderId="0" xfId="0" applyFont="1" applyAlignment="1">
      <alignment horizontal="left" vertical="top" wrapText="1" indent="1"/>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8" fillId="0" borderId="0" xfId="0" applyNumberFormat="1" applyFont="1"/>
    <xf numFmtId="0" fontId="69"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165" fontId="61" fillId="0" borderId="0" xfId="0" applyNumberFormat="1"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4" fillId="10" borderId="19" xfId="21871" applyNumberFormat="1" applyFont="1" applyFill="1" applyBorder="1" applyAlignment="1">
      <alignment horizontal="right" vertical="center" wrapText="1"/>
    </xf>
    <xf numFmtId="14" fontId="54"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0" fontId="39" fillId="0" borderId="0" xfId="0" applyFont="1" applyFill="1"/>
    <xf numFmtId="165" fontId="15" fillId="0" borderId="0" xfId="0" applyNumberFormat="1" applyFont="1" applyBorder="1"/>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2" fillId="0" borderId="1" xfId="0" applyNumberFormat="1" applyFont="1" applyBorder="1" applyAlignment="1">
      <alignment horizontal="right" vertical="top" indent="1"/>
    </xf>
    <xf numFmtId="165" fontId="83" fillId="0" borderId="1" xfId="0" applyNumberFormat="1" applyFont="1" applyBorder="1" applyAlignment="1">
      <alignment horizontal="right" indent="1"/>
    </xf>
    <xf numFmtId="165" fontId="83" fillId="0" borderId="1" xfId="0" applyNumberFormat="1" applyFont="1" applyFill="1" applyBorder="1" applyAlignment="1">
      <alignment horizontal="right" indent="1"/>
    </xf>
    <xf numFmtId="165" fontId="84" fillId="0" borderId="1" xfId="0" applyNumberFormat="1" applyFont="1" applyFill="1" applyBorder="1" applyAlignment="1">
      <alignment horizontal="right" indent="1"/>
    </xf>
    <xf numFmtId="165" fontId="84" fillId="0" borderId="1" xfId="0" applyNumberFormat="1" applyFont="1" applyBorder="1" applyAlignment="1">
      <alignment horizontal="right" indent="1"/>
    </xf>
    <xf numFmtId="165" fontId="85" fillId="0" borderId="18" xfId="0" applyNumberFormat="1" applyFont="1" applyBorder="1" applyAlignment="1">
      <alignment horizontal="right" vertical="top"/>
    </xf>
    <xf numFmtId="165" fontId="24" fillId="0" borderId="0" xfId="0" applyNumberFormat="1" applyFont="1"/>
    <xf numFmtId="14" fontId="86" fillId="0" borderId="22" xfId="0" applyNumberFormat="1" applyFont="1" applyBorder="1" applyAlignment="1">
      <alignment horizontal="right" vertical="top"/>
    </xf>
    <xf numFmtId="165" fontId="87" fillId="0" borderId="13" xfId="0" applyNumberFormat="1" applyFont="1" applyBorder="1" applyAlignment="1">
      <alignment horizontal="right" vertical="top" indent="1"/>
    </xf>
    <xf numFmtId="165" fontId="88" fillId="0" borderId="13" xfId="0" applyNumberFormat="1" applyFont="1" applyBorder="1" applyAlignment="1">
      <alignment horizontal="right" vertical="top" indent="1"/>
    </xf>
    <xf numFmtId="165" fontId="89" fillId="0" borderId="18" xfId="0" applyNumberFormat="1" applyFont="1" applyBorder="1" applyAlignment="1">
      <alignment horizontal="right" vertical="top"/>
    </xf>
    <xf numFmtId="165"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5" fontId="83" fillId="0" borderId="13" xfId="0" applyNumberFormat="1" applyFont="1" applyBorder="1" applyAlignment="1">
      <alignment horizontal="right" vertical="center" indent="1"/>
    </xf>
    <xf numFmtId="165" fontId="89" fillId="0" borderId="18" xfId="0" applyNumberFormat="1" applyFont="1" applyBorder="1" applyAlignment="1">
      <alignment horizontal="right" vertical="center"/>
    </xf>
    <xf numFmtId="165" fontId="83" fillId="0" borderId="13" xfId="0" applyNumberFormat="1" applyFont="1" applyBorder="1" applyAlignment="1">
      <alignment horizontal="right" vertical="top" indent="1"/>
    </xf>
    <xf numFmtId="165" fontId="83" fillId="0" borderId="0" xfId="0" applyNumberFormat="1" applyFont="1" applyAlignment="1">
      <alignment horizontal="right" vertical="top" indent="1"/>
    </xf>
    <xf numFmtId="165"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5" fontId="74"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3" fillId="0" borderId="0" xfId="0" applyNumberFormat="1" applyFont="1" applyFill="1"/>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4" fontId="24" fillId="0" borderId="0" xfId="0" applyNumberFormat="1" applyFont="1"/>
    <xf numFmtId="3" fontId="56" fillId="11" borderId="0" xfId="21871" applyNumberFormat="1" applyFont="1" applyFill="1" applyBorder="1" applyAlignment="1">
      <alignment horizontal="right" vertical="center" wrapText="1"/>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39" Type="http://schemas.openxmlformats.org/officeDocument/2006/relationships/revisionLog" Target="revisionLog10.xml"/><Relationship Id="rId51" Type="http://schemas.openxmlformats.org/officeDocument/2006/relationships/revisionLog" Target="revisionLog22.xml"/><Relationship Id="rId72" Type="http://schemas.openxmlformats.org/officeDocument/2006/relationships/revisionLog" Target="revisionLog43.xml"/><Relationship Id="rId34" Type="http://schemas.openxmlformats.org/officeDocument/2006/relationships/revisionLog" Target="revisionLog5.xml"/><Relationship Id="rId42" Type="http://schemas.openxmlformats.org/officeDocument/2006/relationships/revisionLog" Target="revisionLog13.xml"/><Relationship Id="rId47" Type="http://schemas.openxmlformats.org/officeDocument/2006/relationships/revisionLog" Target="revisionLog18.xml"/><Relationship Id="rId50" Type="http://schemas.openxmlformats.org/officeDocument/2006/relationships/revisionLog" Target="revisionLog21.xml"/><Relationship Id="rId55" Type="http://schemas.openxmlformats.org/officeDocument/2006/relationships/revisionLog" Target="revisionLog26.xml"/><Relationship Id="rId63" Type="http://schemas.openxmlformats.org/officeDocument/2006/relationships/revisionLog" Target="revisionLog34.xml"/><Relationship Id="rId68" Type="http://schemas.openxmlformats.org/officeDocument/2006/relationships/revisionLog" Target="revisionLog39.xml"/><Relationship Id="rId76" Type="http://schemas.openxmlformats.org/officeDocument/2006/relationships/revisionLog" Target="revisionLog47.xml"/><Relationship Id="rId71" Type="http://schemas.openxmlformats.org/officeDocument/2006/relationships/revisionLog" Target="revisionLog42.xml"/><Relationship Id="rId33" Type="http://schemas.openxmlformats.org/officeDocument/2006/relationships/revisionLog" Target="revisionLog4.xml"/><Relationship Id="rId38" Type="http://schemas.openxmlformats.org/officeDocument/2006/relationships/revisionLog" Target="revisionLog9.xml"/><Relationship Id="rId46" Type="http://schemas.openxmlformats.org/officeDocument/2006/relationships/revisionLog" Target="revisionLog17.xml"/><Relationship Id="rId59" Type="http://schemas.openxmlformats.org/officeDocument/2006/relationships/revisionLog" Target="revisionLog30.xml"/><Relationship Id="rId67" Type="http://schemas.openxmlformats.org/officeDocument/2006/relationships/revisionLog" Target="revisionLog38.xml"/><Relationship Id="rId41" Type="http://schemas.openxmlformats.org/officeDocument/2006/relationships/revisionLog" Target="revisionLog12.xml"/><Relationship Id="rId54" Type="http://schemas.openxmlformats.org/officeDocument/2006/relationships/revisionLog" Target="revisionLog25.xml"/><Relationship Id="rId62" Type="http://schemas.openxmlformats.org/officeDocument/2006/relationships/revisionLog" Target="revisionLog33.xml"/><Relationship Id="rId70" Type="http://schemas.openxmlformats.org/officeDocument/2006/relationships/revisionLog" Target="revisionLog41.xml"/><Relationship Id="rId75" Type="http://schemas.openxmlformats.org/officeDocument/2006/relationships/revisionLog" Target="revisionLog46.xml"/><Relationship Id="rId32" Type="http://schemas.openxmlformats.org/officeDocument/2006/relationships/revisionLog" Target="revisionLog3.xml"/><Relationship Id="rId37" Type="http://schemas.openxmlformats.org/officeDocument/2006/relationships/revisionLog" Target="revisionLog8.xml"/><Relationship Id="rId40" Type="http://schemas.openxmlformats.org/officeDocument/2006/relationships/revisionLog" Target="revisionLog11.xml"/><Relationship Id="rId45" Type="http://schemas.openxmlformats.org/officeDocument/2006/relationships/revisionLog" Target="revisionLog16.xml"/><Relationship Id="rId53" Type="http://schemas.openxmlformats.org/officeDocument/2006/relationships/revisionLog" Target="revisionLog24.xml"/><Relationship Id="rId58" Type="http://schemas.openxmlformats.org/officeDocument/2006/relationships/revisionLog" Target="revisionLog29.xml"/><Relationship Id="rId66" Type="http://schemas.openxmlformats.org/officeDocument/2006/relationships/revisionLog" Target="revisionLog37.xml"/><Relationship Id="rId74" Type="http://schemas.openxmlformats.org/officeDocument/2006/relationships/revisionLog" Target="revisionLog45.xml"/><Relationship Id="rId36" Type="http://schemas.openxmlformats.org/officeDocument/2006/relationships/revisionLog" Target="revisionLog7.xml"/><Relationship Id="rId49" Type="http://schemas.openxmlformats.org/officeDocument/2006/relationships/revisionLog" Target="revisionLog20.xml"/><Relationship Id="rId57" Type="http://schemas.openxmlformats.org/officeDocument/2006/relationships/revisionLog" Target="revisionLog28.xml"/><Relationship Id="rId61" Type="http://schemas.openxmlformats.org/officeDocument/2006/relationships/revisionLog" Target="revisionLog32.xml"/><Relationship Id="rId31" Type="http://schemas.openxmlformats.org/officeDocument/2006/relationships/revisionLog" Target="revisionLog2.xml"/><Relationship Id="rId44" Type="http://schemas.openxmlformats.org/officeDocument/2006/relationships/revisionLog" Target="revisionLog15.xml"/><Relationship Id="rId52" Type="http://schemas.openxmlformats.org/officeDocument/2006/relationships/revisionLog" Target="revisionLog23.xml"/><Relationship Id="rId60" Type="http://schemas.openxmlformats.org/officeDocument/2006/relationships/revisionLog" Target="revisionLog31.xml"/><Relationship Id="rId65" Type="http://schemas.openxmlformats.org/officeDocument/2006/relationships/revisionLog" Target="revisionLog36.xml"/><Relationship Id="rId73" Type="http://schemas.openxmlformats.org/officeDocument/2006/relationships/revisionLog" Target="revisionLog44.xml"/><Relationship Id="rId30" Type="http://schemas.openxmlformats.org/officeDocument/2006/relationships/revisionLog" Target="revisionLog1.xml"/><Relationship Id="rId35" Type="http://schemas.openxmlformats.org/officeDocument/2006/relationships/revisionLog" Target="revisionLog6.xml"/><Relationship Id="rId43" Type="http://schemas.openxmlformats.org/officeDocument/2006/relationships/revisionLog" Target="revisionLog14.xml"/><Relationship Id="rId48" Type="http://schemas.openxmlformats.org/officeDocument/2006/relationships/revisionLog" Target="revisionLog19.xml"/><Relationship Id="rId56" Type="http://schemas.openxmlformats.org/officeDocument/2006/relationships/revisionLog" Target="revisionLog27.xml"/><Relationship Id="rId64" Type="http://schemas.openxmlformats.org/officeDocument/2006/relationships/revisionLog" Target="revisionLog35.xml"/><Relationship Id="rId69" Type="http://schemas.openxmlformats.org/officeDocument/2006/relationships/revisionLog" Target="revisionLog40.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CB1E18F-4F3A-44DC-87FA-BBF8305C117D}" diskRevisions="1" revisionId="1837" version="3">
  <header guid="{B50FF495-3FF8-46C3-9400-EB09002A6B13}" dateTime="2020-10-08T18:21:33" maxSheetId="22" userName="Stadler Dorota" r:id="rId30" minRId="571" maxRId="6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FCAD095-60F8-49DA-8764-D8C05ED72613}" dateTime="2020-10-08T18:22:21" maxSheetId="22" userName="Stadler Dorota" r:id="rId31" minRId="665" maxRId="69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0D1D20-6BEA-4AC8-B0C1-3CB8248F447E}" dateTime="2020-10-08T18:23:17" maxSheetId="22" userName="Stadler Dorota" r:id="rId32" minRId="69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E16B53E-A3BC-45D6-BA75-19C16DB252FA}" dateTime="2020-10-08T18:25:52" maxSheetId="22" userName="Stadler Dorota" r:id="rId33" minRId="700" maxRId="7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3D28B3A0-7F35-4BDA-B625-E40CF0811E8B}" dateTime="2020-10-08T18:27:56" maxSheetId="22" userName="Stadler Dorota" r:id="rId3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B7F6BE5-BD4B-4D93-9537-F974E5C2A5C0}" dateTime="2020-10-09T08:36:54" maxSheetId="22" userName="Dziadczyk Marzena" r:id="rId35" minRId="719" maxRId="753">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83805F4-7BD2-4BC8-AE77-9155E7B64330}" dateTime="2020-10-09T08:44:14" maxSheetId="22" userName="Dziadczyk Marzena" r:id="rId36" minRId="754" maxRId="80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B84739B-7CCD-4617-A400-3504084E4CB8}" dateTime="2020-10-09T08:47:22" maxSheetId="22" userName="Dziadczyk Marzena" r:id="rId37" minRId="802" maxRId="81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54D57AE-77FD-4B1C-9D69-07325BF39586}" dateTime="2020-10-09T08:48:36" maxSheetId="22" userName="Dziadczyk Marzena" r:id="rId38" minRId="813" maxRId="81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A7AD7473-2C93-4BF8-A429-6C8D5ABD859B}" dateTime="2020-10-09T08:50:37" maxSheetId="22" userName="Kosowska Bożena" r:id="rId39" minRId="818" maxRId="831">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E8DFF8E-7A41-4681-85B2-E4471572BCB3}" dateTime="2020-10-09T08:52:24" maxSheetId="22" userName="Kosowska Bożena" r:id="rId40" minRId="83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4921155-4118-426D-8BA7-52D8B1D29C51}" dateTime="2020-10-09T09:38:00" maxSheetId="22" userName="Dziadczyk Marzena" r:id="rId41" minRId="834" maxRId="86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B4997BC8-A5A5-4D19-B5C0-A8CCB79A902E}" dateTime="2020-10-09T09:40:24" maxSheetId="22" userName="Dziadczyk Marzena" r:id="rId42" minRId="863" maxRId="86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C61B0152-7C19-4723-B440-002B1D4983A4}" dateTime="2020-10-09T10:11:55" maxSheetId="22" userName="Kosowska Bożena" r:id="rId43" minRId="868" maxRId="93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C3734F2-3EC7-4C0E-BED2-E4FDC3E733C4}" dateTime="2020-10-09T10:13:05" maxSheetId="22" userName="Kosowska Bożena" r:id="rId44" minRId="940">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943AC64-3506-421F-AC45-70A70A391536}" dateTime="2020-10-09T11:16:49" maxSheetId="22" userName="Kozłowska Agnieszka B" r:id="rId45" minRId="941" maxRId="1004">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3AD59A1-C0BB-446B-B1AD-B0226671CB9B}" dateTime="2020-10-09T11:36:48" maxSheetId="22" userName="Chudyma Marta" r:id="rId46" minRId="1005" maxRId="100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D3F7CEDA-3361-4650-944B-9F9F47E34643}" dateTime="2020-10-09T12:45:35" maxSheetId="22" userName="Stadler Dorota" r:id="rId4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77626844-9ED4-44DA-A030-EF628DBD87EB}" dateTime="2020-10-09T12:46:27" maxSheetId="22" userName="Stadler Dorota" r:id="rId4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513C743E-4502-4E8E-9AD9-6BC8456A1D35}" dateTime="2020-10-12T07:54:25" maxSheetId="22" userName="Stadler Dorota" r:id="rId49" minRId="102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B3E986B-B260-484F-AD18-B42A4783CF05}" dateTime="2020-10-12T08:13:24" maxSheetId="22" userName="Stadler Dorota" r:id="rId50" minRId="1032" maxRId="104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0CE0144D-04B3-4FEF-92DD-40D3F42CB588}" dateTime="2020-10-12T08:40:50" maxSheetId="22" userName="Kozłowska Agnieszka B" r:id="rId51" minRId="1055" maxRId="105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8AA3547B-A986-432F-92FC-738BA5809E68}" dateTime="2020-10-12T08:52:29" maxSheetId="22" userName="Kozłowska Agnieszka B" r:id="rId52" minRId="1059" maxRId="106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CFDF82E-9BCE-45E2-8C9E-B8624A1CEC25}" dateTime="2020-10-12T09:14:01" maxSheetId="22" userName="Kozłowska Agnieszka B" r:id="rId53" minRId="1068" maxRId="108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6FEF7EC8-831E-4145-B06B-672FA79C71F5}" dateTime="2020-10-12T09:21:02" maxSheetId="22" userName="Kozłowska Agnieszka B" r:id="rId54" minRId="1086" maxRId="1122">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2605EFF-8CC9-4DB1-8F13-BB6C35CC82F1}" dateTime="2020-10-12T10:04:42" maxSheetId="22" userName="Kozłowska Agnieszka B" r:id="rId5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4732BEBB-DA81-49BC-9A82-8FBF2BE418ED}" dateTime="2020-10-12T10:17:55" maxSheetId="22" userName="Kozłowska Agnieszka B" r:id="rId56">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037BA15-D309-43F0-97BD-921B273DB7F7}" dateTime="2020-10-12T10:26:23" maxSheetId="22" userName="Kozłowska Agnieszka B" r:id="rId57">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F9B9AB3D-DF20-4C0B-BB1D-DD77A30436BB}" dateTime="2020-10-12T11:14:24" maxSheetId="22" userName="Kozłowska Agnieszka B" r:id="rId58" minRId="1127" maxRId="1145">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94705D41-A571-4898-8D9E-8F16DD2EC8ED}" dateTime="2020-10-15T14:34:18" maxSheetId="22" userName="Chudyma Marta" r:id="rId59" minRId="1148" maxRId="1180">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605DBBF6-95EE-4766-9DE0-C3844D341431}" dateTime="2020-10-16T12:11:28" maxSheetId="22" userName="Chudyma Marta" r:id="rId60" minRId="1184" maxRId="1190">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C861AA3F-A720-443C-93D6-DFBB0495E343}" dateTime="2020-10-16T14:32:32" maxSheetId="22" userName="Kozłowska Agnieszka B" r:id="rId61" minRId="1194" maxRId="1195">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9BEA6AB0-6175-432E-ACCB-1697BAF30B1F}" dateTime="2020-10-16T14:33:41" maxSheetId="22" userName="Kozłowska Agnieszka B" r:id="rId62">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FAF08A86-B283-4551-91F0-D9C1A947911B}" dateTime="2020-10-22T09:32:30" maxSheetId="22" userName="Kozłowska Agnieszka B" r:id="rId63">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192D5B8C-DF73-409C-AFB7-49AAF5C2ED21}" dateTime="2020-10-22T16:09:49" maxSheetId="22" userName="Kozłowska Agnieszka B" r:id="rId64" minRId="1204">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4CA5DBE0-2F65-4A67-A4D0-7814BDB8A8B5}" dateTime="2020-10-22T16:13:14" maxSheetId="22" userName="Stadler Dorota" r:id="rId65" minRId="1207" maxRId="1208">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F7ABAE72-0FE9-4A0E-A63A-F40BC16A1F6D}" dateTime="2020-10-22T16:13:54" maxSheetId="22" userName="Stadler Dorota" r:id="rId66" minRId="1216">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9B3EFA7C-A377-4E82-A2BD-99BE71AA1FED}" dateTime="2020-10-26T12:25:47" maxSheetId="22" userName="Kozłowska Agnieszka B" r:id="rId67">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F1B3D684-EB05-474A-AB4D-0E09E05E657F}" dateTime="2020-10-26T15:21:38" maxSheetId="22" userName="Słaba Dorota" r:id="rId68" minRId="1219" maxRId="1230">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9197EB67-FAB3-48A5-AD70-266E59E41363}" dateTime="2020-10-26T16:16:34" maxSheetId="22" userName="Słaba Dorota" r:id="rId69" minRId="1233" maxRId="1727">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29E5DD8B-A511-4790-9670-3EF494B740AE}" dateTime="2020-10-26T17:02:34" maxSheetId="22" userName="Słaba Dorota" r:id="rId70" minRId="1728" maxRId="1746">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82AEBB58-A1D4-422A-A5D9-1BA19778BE90}" dateTime="2020-10-26T17:09:38" maxSheetId="22" userName="Słaba Dorota" r:id="rId71" minRId="1749" maxRId="1751">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30E0394F-3687-45A2-A1E3-ECC8EA82AEB5}" dateTime="2020-10-26T17:18:08" maxSheetId="22" userName="Słaba Dorota" r:id="rId72" minRId="1752">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8E46FF83-9C3A-4E69-9149-79A0E62C9078}" dateTime="2020-10-26T17:20:16" maxSheetId="22" userName="Słaba Dorota" r:id="rId73" minRId="1753">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8FCEC9BF-F832-4F21-B9F6-DB5804681834}" dateTime="2020-10-26T17:25:57" maxSheetId="22" userName="Słaba Dorota" r:id="rId74">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37A5C0A7-616B-457A-B10A-94BC512BA86D}" dateTime="2020-10-26T17:31:11" maxSheetId="22" userName="Dowżycka Agnieszka" r:id="rId75" minRId="1756" maxRId="1833">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 guid="{9CB1E18F-4F3A-44DC-87FA-BBF8305C117D}" dateTime="2020-10-26T17:36:36" maxSheetId="22" userName="Dowżycka Agnieszka" r:id="rId76">
    <sheetIdMap count="21">
      <sheetId val="1"/>
      <sheetId val="2"/>
      <sheetId val="3"/>
      <sheetId val="4"/>
      <sheetId val="5"/>
      <sheetId val="6"/>
      <sheetId val="7"/>
      <sheetId val="8"/>
      <sheetId val="9"/>
      <sheetId val="10"/>
      <sheetId val="11"/>
      <sheetId val="12"/>
      <sheetId val="13"/>
      <sheetId val="14"/>
      <sheetId val="15"/>
      <sheetId val="16"/>
      <sheetId val="17"/>
      <sheetId val="19"/>
      <sheetId val="20"/>
      <sheetId val="18"/>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1" sId="2" odxf="1" dxf="1">
    <oc r="C16" t="inlineStr">
      <is>
        <t>Assets pledged as collateral</t>
      </is>
    </oc>
    <nc r="C16" t="inlineStr">
      <is>
        <t xml:space="preserve"> - equity securities measured at fair value through profit and loss</t>
      </is>
    </nc>
    <odxf>
      <border outline="0">
        <right style="thin">
          <color indexed="9"/>
        </right>
      </border>
    </odxf>
    <ndxf>
      <border outline="0">
        <right/>
      </border>
    </ndxf>
  </rcc>
  <rcc rId="572" sId="2" numFmtId="34">
    <oc r="D16">
      <v>1551683</v>
    </oc>
    <nc r="D16"/>
  </rcc>
  <rcc rId="573" sId="2" numFmtId="34">
    <oc r="E16">
      <v>3255921</v>
    </oc>
    <nc r="E16"/>
  </rcc>
  <rcc rId="574" sId="2" numFmtId="34">
    <oc r="F16">
      <v>1970708</v>
    </oc>
    <nc r="F16"/>
  </rcc>
  <rcc rId="575" sId="2" numFmtId="34">
    <oc r="G16">
      <v>2385727</v>
    </oc>
    <nc r="G16"/>
  </rcc>
  <rcc rId="576" sId="2" numFmtId="34">
    <oc r="H16">
      <v>2385727</v>
    </oc>
    <nc r="H16"/>
  </rcc>
  <rcc rId="577" sId="2" numFmtId="34">
    <oc r="I16">
      <v>2607112</v>
    </oc>
    <nc r="I16"/>
  </rcc>
  <rcc rId="578" sId="2" numFmtId="34">
    <oc r="J16">
      <v>1638155</v>
    </oc>
    <nc r="J16"/>
  </rcc>
  <rcc rId="579" sId="2" numFmtId="34">
    <oc r="K16">
      <v>2746983</v>
    </oc>
    <nc r="K16"/>
  </rcc>
  <rcc rId="580" sId="2" numFmtId="34">
    <oc r="L16">
      <v>1708744</v>
    </oc>
    <nc r="L16"/>
  </rcc>
  <rcc rId="581" sId="2" numFmtId="34">
    <oc r="M16">
      <v>1601898</v>
    </oc>
    <nc r="M16"/>
  </rcc>
  <rcc rId="582" sId="2" numFmtId="34">
    <oc r="N16">
      <v>1216615</v>
    </oc>
    <nc r="N16"/>
  </rcc>
  <rcc rId="583" sId="2" numFmtId="34">
    <oc r="O16">
      <v>1167517</v>
    </oc>
    <nc r="O16"/>
  </rcc>
  <rcc rId="584" sId="2" numFmtId="34">
    <oc r="P16">
      <v>1089558</v>
    </oc>
    <nc r="P16"/>
  </rcc>
  <rcc rId="585" sId="2" numFmtId="34">
    <oc r="Q16">
      <v>1152234</v>
    </oc>
    <nc r="Q16"/>
  </rcc>
  <rcc rId="586" sId="2" numFmtId="34">
    <oc r="R16">
      <v>1129955</v>
    </oc>
    <nc r="R16"/>
  </rcc>
  <rfmt sheetId="2" s="1" sqref="S16"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587" sId="2" odxf="1" dxf="1" numFmtId="19">
    <nc r="S1">
      <v>44104</v>
    </nc>
    <odxf>
      <font>
        <b val="0"/>
        <sz val="9"/>
        <name val="Open Sans"/>
        <scheme val="none"/>
      </font>
      <numFmt numFmtId="0" formatCode="General"/>
      <alignment horizontal="general" wrapText="0" readingOrder="0"/>
      <border outline="0">
        <top/>
        <bottom/>
      </border>
    </odxf>
    <ndxf>
      <font>
        <b/>
        <sz val="9"/>
        <color rgb="FFCC0000"/>
        <name val="Open Sans"/>
        <scheme val="none"/>
      </font>
      <numFmt numFmtId="19" formatCode="dd/mm/yyyy"/>
      <alignment horizontal="right" wrapText="1" readingOrder="0"/>
      <border outline="0">
        <top style="thin">
          <color indexed="9"/>
        </top>
        <bottom style="medium">
          <color rgb="FFCC0000"/>
        </bottom>
      </border>
    </ndxf>
  </rcc>
  <rcc rId="588" sId="2" odxf="1" s="1" dxf="1" numFmtId="34">
    <nc r="S3">
      <v>2907749</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89" sId="2" odxf="1" s="1" dxf="1" numFmtId="34">
    <nc r="S4">
      <v>2971312</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0" sId="2" odxf="1" s="1" dxf="1" numFmtId="34">
    <nc r="S5">
      <v>4730315</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1" sId="2" odxf="1" s="1" dxf="1" numFmtId="34">
    <nc r="S6">
      <v>142051438</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2" sId="2" odxf="1" s="1" dxf="1" numFmtId="34">
    <nc r="S7">
      <v>139855112</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3" sId="2" odxf="1" s="1" dxf="1" numFmtId="34">
    <nc r="S8">
      <v>1140320</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4" sId="2" odxf="1" s="1" dxf="1" numFmtId="34">
    <nc r="S9">
      <v>1056006</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5" sId="2" odxf="1" s="1" dxf="1" numFmtId="34">
    <nc r="S10">
      <v>125828</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6" sId="2" odxf="1" s="1" dxf="1" numFmtId="34">
    <nc r="S11">
      <v>0</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7" sId="2" odxf="1" s="1" dxf="1" numFmtId="34">
    <nc r="S12">
      <v>61209949</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8" sId="2" odxf="1" s="1" dxf="1" numFmtId="34">
    <nc r="S13">
      <v>60192017</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599" sId="2" odxf="1" s="1" dxf="1" numFmtId="34">
    <nc r="S14">
      <v>103695</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0" sId="2" odxf="1" s="1" dxf="1" numFmtId="34">
    <nc r="S15">
      <v>808264</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1" sId="2" numFmtId="34">
    <nc r="S16">
      <v>105973</v>
    </nc>
  </rcc>
  <rfmt sheetId="2" s="1" sqref="S17"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1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19"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20"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21"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22"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602" sId="2" odxf="1" s="1" dxf="1" numFmtId="34">
    <nc r="S23">
      <v>0</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3" sId="2" odxf="1" s="1" dxf="1" numFmtId="34">
    <nc r="S24">
      <v>1964394</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4" sId="2" odxf="1" s="1" dxf="1" numFmtId="34">
    <nc r="S25">
      <v>10923</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5" sId="2" odxf="1" s="1" dxf="1" numFmtId="34">
    <nc r="S26">
      <v>1322924</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2" s="1" sqref="S27" start="0" length="0">
    <dxf>
      <font>
        <b/>
        <sz val="9"/>
        <color rgb="FFEC0000"/>
        <name val="Open Sans"/>
        <scheme val="none"/>
      </font>
      <numFmt numFmtId="3" formatCode="#,##0"/>
      <alignment horizontal="right" readingOrder="0"/>
      <border outline="0">
        <left style="thin">
          <color indexed="9"/>
        </left>
        <bottom style="thin">
          <color rgb="FFEC0000"/>
        </bottom>
      </border>
    </dxf>
  </rfmt>
  <rfmt sheetId="2" s="1" sqref="S2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606" sId="2" odxf="1" s="1" dxf="1" numFmtId="34">
    <nc r="S29">
      <v>5188853</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7" sId="2" odxf="1" s="1" dxf="1" numFmtId="34">
    <nc r="S30">
      <v>4568547</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8" sId="2" odxf="1" s="1" dxf="1" numFmtId="34">
    <nc r="S31">
      <v>166914997</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09" sId="2" odxf="1" s="1" dxf="1" numFmtId="34">
    <nc r="S32">
      <v>826814</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0" sId="2" odxf="1" s="1" dxf="1" numFmtId="34">
    <nc r="S33">
      <v>10312795</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1" sId="2" odxf="1" s="1" dxf="1" numFmtId="34">
    <nc r="S34">
      <v>645156</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2" sId="2" odxf="1" s="1" dxf="1" numFmtId="34">
    <nc r="S35">
      <v>2731657</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3" sId="2" odxf="1" s="1" dxf="1" numFmtId="34">
    <nc r="S36">
      <v>90245</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4" sId="2" odxf="1" s="1" dxf="1" numFmtId="34">
    <nc r="S37">
      <v>59563</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5" sId="2" odxf="1" s="1" dxf="1" numFmtId="34">
    <nc r="S38">
      <v>507401</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6" sId="2" odxf="1" s="1" dxf="1" numFmtId="34">
    <nc r="S39">
      <v>2720497</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2" s="1" sqref="S40" start="0" length="0">
    <dxf>
      <font>
        <sz val="9"/>
        <color rgb="FFEC0000"/>
        <name val="Open Sans"/>
        <scheme val="none"/>
      </font>
      <numFmt numFmtId="3" formatCode="#,##0"/>
      <alignment horizontal="right" readingOrder="0"/>
      <border outline="0">
        <left style="thin">
          <color indexed="9"/>
        </left>
        <bottom style="thin">
          <color rgb="FFEC0000"/>
        </bottom>
      </border>
    </dxf>
  </rfmt>
  <rfmt sheetId="2" s="1" sqref="S41"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617" sId="2" odxf="1" s="1" dxf="1">
    <nc r="S42">
      <f>SUM(S43:S47)</f>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rgb="FFEC0000"/>
        <name val="Open Sans"/>
        <scheme val="none"/>
      </font>
      <numFmt numFmtId="3" formatCode="#,##0"/>
      <alignment horizontal="right" readingOrder="0"/>
      <border outline="0">
        <left style="thin">
          <color indexed="9"/>
        </left>
        <bottom style="thin">
          <color rgb="FFEC0000"/>
        </bottom>
      </border>
    </ndxf>
  </rcc>
  <rcc rId="618" sId="2" odxf="1" s="1" dxf="1" numFmtId="34">
    <nc r="S43">
      <v>1021893</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19" sId="2" odxf="1" s="1" dxf="1" numFmtId="34">
    <nc r="S44">
      <v>21296995</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20" sId="2" odxf="1" s="1" dxf="1" numFmtId="34">
    <nc r="S45">
      <v>1752578</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21" sId="2" odxf="1" s="1" dxf="1" numFmtId="34">
    <nc r="S46">
      <v>1799406</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22" sId="2" odxf="1" s="1" dxf="1" numFmtId="34">
    <nc r="S47">
      <v>955621</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cc rId="623" sId="2" odxf="1" s="1" dxf="1" numFmtId="4">
    <nc r="S48">
      <v>1629539</v>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3" formatCode="#,##0"/>
      <alignment horizontal="right" readingOrder="0"/>
      <border outline="0">
        <left style="thin">
          <color indexed="9"/>
        </left>
        <bottom style="thin">
          <color rgb="FFEC0000"/>
        </bottom>
      </border>
    </ndxf>
  </rcc>
  <rcc rId="624" sId="2" odxf="1" s="1" dxf="1">
    <nc r="S49">
      <f>S42+S48</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rgb="FFEC0000"/>
        <name val="Open Sans"/>
        <scheme val="none"/>
      </font>
      <numFmt numFmtId="3" formatCode="#,##0"/>
      <alignment horizontal="right" readingOrder="0"/>
      <border outline="0">
        <left style="thin">
          <color indexed="9"/>
        </left>
        <bottom style="thin">
          <color rgb="FFEC0000"/>
        </bottom>
      </border>
    </ndxf>
  </rcc>
  <rcc rId="625" sId="2" odxf="1" s="1" dxf="1">
    <nc r="S50">
      <f>S40+S49</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numFmt numFmtId="3" formatCode="#,##0"/>
      <alignment horizontal="right" readingOrder="0"/>
      <border outline="0">
        <left style="thin">
          <color indexed="9"/>
        </left>
        <bottom style="thin">
          <color rgb="FFEC0000"/>
        </bottom>
      </border>
    </ndxf>
  </rcc>
  <rcc rId="626" sId="2" odxf="1" dxf="1">
    <nc r="S51">
      <f>S27-S50</f>
    </nc>
    <odxf>
      <font>
        <sz val="9"/>
        <color auto="1"/>
        <name val="Open Sans"/>
        <scheme val="none"/>
      </font>
      <numFmt numFmtId="0" formatCode="General"/>
    </odxf>
    <ndxf>
      <font>
        <sz val="8"/>
        <color auto="1"/>
        <name val="Open Sans"/>
        <scheme val="none"/>
      </font>
      <numFmt numFmtId="3" formatCode="#,##0"/>
    </ndxf>
  </rcc>
  <rfmt sheetId="2" sqref="S52" start="0" length="0">
    <dxf>
      <font>
        <i/>
        <sz val="9"/>
        <color auto="1"/>
        <name val="Open Sans"/>
        <scheme val="none"/>
      </font>
      <numFmt numFmtId="3" formatCode="#,##0"/>
    </dxf>
  </rfmt>
  <rfmt sheetId="2" sqref="S53" start="0" length="0">
    <dxf>
      <font>
        <i/>
        <sz val="9"/>
        <color auto="1"/>
        <name val="Open Sans"/>
        <scheme val="none"/>
      </font>
      <numFmt numFmtId="3" formatCode="#,##0"/>
    </dxf>
  </rfmt>
  <rfmt sheetId="2" sqref="S54" start="0" length="0">
    <dxf>
      <font>
        <sz val="9"/>
        <color auto="1"/>
        <name val="Open Sans"/>
        <scheme val="none"/>
      </font>
    </dxf>
  </rfmt>
  <rfmt sheetId="2" s="1" sqref="S55"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56"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57"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5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qref="S59" start="0" length="0">
    <dxf>
      <font>
        <sz val="9"/>
        <color auto="1"/>
        <name val="Open Sans"/>
        <scheme val="none"/>
      </font>
    </dxf>
  </rfmt>
  <rfmt sheetId="2" sqref="S60" start="0" length="0">
    <dxf>
      <font>
        <sz val="9"/>
        <color auto="1"/>
        <name val="Open Sans"/>
        <scheme val="none"/>
      </font>
    </dxf>
  </rfmt>
  <rfmt sheetId="2" sqref="S61" start="0" length="0">
    <dxf>
      <font>
        <sz val="9"/>
        <color auto="1"/>
        <name val="Open Sans"/>
        <scheme val="none"/>
      </font>
      <numFmt numFmtId="165" formatCode="_(* #\ ###\ ##0_);_(* \(#\ ###\ ##0\);_(* &quot;-&quot;_);_(@_)"/>
    </dxf>
  </rfmt>
  <rfmt sheetId="2" s="1" sqref="S62"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63"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64"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65"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qref="S66" start="0" length="0">
    <dxf>
      <font>
        <sz val="9"/>
        <color auto="1"/>
        <name val="Open Sans"/>
        <scheme val="none"/>
      </font>
    </dxf>
  </rfmt>
  <rfmt sheetId="2" s="1" sqref="S67"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6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2" s="1" sqref="S69" start="0" length="0">
    <dxf>
      <font>
        <sz val="9"/>
        <color auto="1"/>
        <name val="Open Sans"/>
        <scheme val="none"/>
      </font>
      <numFmt numFmtId="165" formatCode="_(* #\ ###\ ##0_);_(* \(#\ ###\ ##0\);_(* &quot;-&quot;_);_(@_)"/>
      <alignment horizontal="right" indent="1" readingOrder="0"/>
    </dxf>
  </rfmt>
  <rfmt sheetId="2" s="1" sqref="S70" start="0" length="0">
    <dxf>
      <font>
        <sz val="9"/>
        <color auto="1"/>
        <name val="Open Sans"/>
        <scheme val="none"/>
      </font>
      <numFmt numFmtId="165" formatCode="_(* #\ ###\ ##0_);_(* \(#\ ###\ ##0\);_(* &quot;-&quot;_);_(@_)"/>
      <alignment horizontal="right" indent="1" readingOrder="0"/>
    </dxf>
  </rfmt>
  <rfmt sheetId="2" s="1" sqref="S71" start="0" length="0">
    <dxf>
      <font>
        <sz val="9"/>
        <color auto="1"/>
        <name val="Open Sans"/>
        <scheme val="none"/>
      </font>
      <numFmt numFmtId="165" formatCode="_(* #\ ###\ ##0_);_(* \(#\ ###\ ##0\);_(* &quot;-&quot;_);_(@_)"/>
      <alignment horizontal="right" indent="1" readingOrder="0"/>
    </dxf>
  </rfmt>
  <rfmt sheetId="2" s="1" sqref="S72" start="0" length="0">
    <dxf>
      <font>
        <sz val="9"/>
        <color auto="1"/>
        <name val="Open Sans"/>
        <scheme val="none"/>
      </font>
      <numFmt numFmtId="165" formatCode="_(* #\ ###\ ##0_);_(* \(#\ ###\ ##0\);_(* &quot;-&quot;_);_(@_)"/>
      <alignment horizontal="right" indent="1" readingOrder="0"/>
    </dxf>
  </rfmt>
  <rfmt sheetId="2" s="1" sqref="S73" start="0" length="0">
    <dxf>
      <font>
        <sz val="9"/>
        <color auto="1"/>
        <name val="Open Sans"/>
        <scheme val="none"/>
      </font>
      <numFmt numFmtId="165" formatCode="_(* #\ ###\ ##0_);_(* \(#\ ###\ ##0\);_(* &quot;-&quot;_);_(@_)"/>
      <alignment horizontal="right" indent="1" readingOrder="0"/>
    </dxf>
  </rfmt>
  <rfmt sheetId="2" s="1" sqref="S74" start="0" length="0">
    <dxf>
      <font>
        <sz val="9"/>
        <color auto="1"/>
        <name val="Open Sans"/>
        <scheme val="none"/>
      </font>
      <numFmt numFmtId="165" formatCode="_(* #\ ###\ ##0_);_(* \(#\ ###\ ##0\);_(* &quot;-&quot;_);_(@_)"/>
      <alignment horizontal="right" indent="1" readingOrder="0"/>
    </dxf>
  </rfmt>
  <rcc rId="627" sId="2" odxf="1" dxf="1">
    <nc r="S75">
      <f>SUM('P:\GIELDA\PREZENTACJA\Q3 2020\załączniki\[Quarterly Financial_nowy format_IIIQ2020_roboczy.xlsx]P&amp;L'!$O$29:Q29)-S46</f>
    </nc>
    <odxf>
      <font>
        <sz val="9"/>
        <name val="Open Sans"/>
        <scheme val="none"/>
      </font>
    </odxf>
    <ndxf>
      <font>
        <sz val="9"/>
        <color auto="1"/>
        <name val="Open Sans"/>
        <scheme val="none"/>
      </font>
    </ndxf>
  </rcc>
  <rfmt sheetId="2" sqref="S76" start="0" length="0">
    <dxf>
      <font>
        <sz val="9"/>
        <color auto="1"/>
        <name val="Open Sans"/>
        <scheme val="minor"/>
      </font>
      <numFmt numFmtId="165" formatCode="_(* #\ ###\ ##0_);_(* \(#\ ###\ ##0\);_(* &quot;-&quot;_);_(@_)"/>
      <alignment horizontal="right" vertical="top" indent="1" readingOrder="0"/>
      <border outline="0">
        <top style="thin">
          <color indexed="64"/>
        </top>
        <bottom style="thin">
          <color indexed="64"/>
        </bottom>
      </border>
    </dxf>
  </rfmt>
  <rfmt sheetId="2" sqref="S77" start="0" length="0">
    <dxf>
      <font>
        <sz val="9"/>
        <color auto="1"/>
        <name val="Open Sans"/>
        <scheme val="none"/>
      </font>
    </dxf>
  </rfmt>
  <rfmt sheetId="2" sqref="S78" start="0" length="0">
    <dxf>
      <font>
        <sz val="9"/>
        <color auto="1"/>
        <name val="Open Sans"/>
        <scheme val="none"/>
      </font>
    </dxf>
  </rfmt>
  <rfmt sheetId="2" sqref="S79" start="0" length="0">
    <dxf>
      <font>
        <sz val="9"/>
        <color auto="1"/>
        <name val="Open Sans"/>
        <scheme val="none"/>
      </font>
    </dxf>
  </rfmt>
  <rfmt sheetId="2" sqref="S80" start="0" length="0">
    <dxf>
      <font>
        <sz val="9"/>
        <color auto="1"/>
        <name val="Open Sans"/>
        <scheme val="none"/>
      </font>
    </dxf>
  </rfmt>
  <rfmt sheetId="2" sqref="S81" start="0" length="0">
    <dxf>
      <font>
        <sz val="9"/>
        <color auto="1"/>
        <name val="Open Sans"/>
        <scheme val="none"/>
      </font>
    </dxf>
  </rfmt>
  <rfmt sheetId="2" sqref="S82" start="0" length="0">
    <dxf>
      <font>
        <sz val="9"/>
        <color auto="1"/>
        <name val="Open Sans"/>
        <scheme val="none"/>
      </font>
    </dxf>
  </rfmt>
  <rm rId="628" sheetId="2" source="S24:S27" destination="S23:S26" sourceSheetId="2">
    <undo index="23" exp="ref" v="1" dr="S23" r="S27" sId="2"/>
    <rcc rId="0" sId="2" s="1" dxf="1" numFmtId="34">
      <nc r="S23">
        <v>0</v>
      </nc>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m>
  <rm rId="629" sheetId="2" source="S29:S50" destination="S28:S49" sourceSheetId="2">
    <rfmt sheetId="2" s="1" sqref="S2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m>
  <rcc rId="630" sId="2">
    <nc r="S39">
      <f>SUM(S28:S38)</f>
    </nc>
  </rcc>
  <rfmt sheetId="2" s="1" sqref="T20"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631" sId="2" numFmtId="34">
    <nc r="S20">
      <v>784112</v>
    </nc>
  </rcc>
  <rcc rId="632" sId="2" numFmtId="34">
    <nc r="S19">
      <v>1712056</v>
    </nc>
  </rcc>
  <rcc rId="633" sId="2" numFmtId="34">
    <nc r="S21">
      <v>735823</v>
    </nc>
  </rcc>
  <rcc rId="634" sId="2">
    <nc r="T26">
      <v>223022557</v>
    </nc>
  </rcc>
  <rcc rId="635" sId="2" odxf="1" dxf="1">
    <nc r="U26">
      <f>T26-S26</f>
    </nc>
    <odxf>
      <numFmt numFmtId="0" formatCode="General"/>
    </odxf>
    <ndxf>
      <numFmt numFmtId="3" formatCode="#,##0"/>
    </ndxf>
  </rcc>
  <rcc rId="636" sId="2" numFmtId="34">
    <nc r="S17">
      <v>978234</v>
    </nc>
  </rcc>
  <rcc rId="637" sId="2" numFmtId="34">
    <nc r="S18">
      <v>688811</v>
    </nc>
  </rcc>
  <rrc rId="638" sId="2" ref="A17:XFD17" action="insertRow">
    <undo index="0" exp="area" ref3D="1" dr="$C$1:$C$1048576" dn="Z_EB23FC34_EB9F_4A12_8CA9_C3B8F6F151C1_.wvu.PrintTitles" sId="2"/>
    <undo index="1" exp="area" ref3D="1" dr="$A$22:$XFD$22" dn="Z_EB23FC34_EB9F_4A12_8CA9_C3B8F6F151C1_.wvu.Rows" sId="2"/>
    <undo index="0" exp="area" ref3D="1" dr="$C$1:$C$1048576" dn="Z_ED54A16F_4B72_4859_9335_463F05020B50_.wvu.PrintTitles" sId="2"/>
    <undo index="0" exp="area" ref3D="1" dr="$C$1:$C$1048576" dn="Z_125C78BA_D867_47D1_A11F_3136D301DF29_.wvu.PrintTitles" sId="2"/>
    <undo index="0" exp="area" ref3D="1" dr="$D$1:$G$1048576" dn="Z_52EFF634_6180_488B_AC31_853256997E5C_.wvu.Cols" sId="2"/>
  </rrc>
  <rcc rId="639" sId="2">
    <nc r="B17" t="inlineStr">
      <is>
        <t>Aktywa stanowiące zabezpieczenie zobowiązań</t>
      </is>
    </nc>
  </rcc>
  <rcc rId="640" sId="2" odxf="1" dxf="1">
    <nc r="C17" t="inlineStr">
      <is>
        <t>Assets pledged as collateral</t>
      </is>
    </nc>
    <odxf>
      <border outline="0">
        <right/>
      </border>
    </odxf>
    <ndxf>
      <border outline="0">
        <right style="thin">
          <color indexed="9"/>
        </right>
      </border>
    </ndxf>
  </rcc>
  <rcc rId="641" sId="2">
    <nc r="D17">
      <f>D70--D73</f>
    </nc>
  </rcc>
  <rcc rId="642" sId="2">
    <nc r="E17">
      <f>E70--E73</f>
    </nc>
  </rcc>
  <rcc rId="643" sId="2">
    <nc r="F17">
      <f>F70--F73</f>
    </nc>
  </rcc>
  <rcc rId="644" sId="2">
    <nc r="G17">
      <f>G70--G73</f>
    </nc>
  </rcc>
  <rcc rId="645" sId="2" numFmtId="34">
    <nc r="H17">
      <v>2385727</v>
    </nc>
  </rcc>
  <rcc rId="646" sId="2">
    <nc r="I17">
      <f>I70--I73</f>
    </nc>
  </rcc>
  <rcc rId="647" sId="2">
    <nc r="J17">
      <f>J70--J73</f>
    </nc>
  </rcc>
  <rcc rId="648" sId="2">
    <nc r="K17">
      <f>K70--K73</f>
    </nc>
  </rcc>
  <rcc rId="649" sId="2">
    <nc r="L17">
      <f>L70--L73</f>
    </nc>
  </rcc>
  <rcc rId="650" sId="2">
    <nc r="M17">
      <f>M70--M73</f>
    </nc>
  </rcc>
  <rcc rId="651" sId="2">
    <nc r="N17">
      <f>N70--N73</f>
    </nc>
  </rcc>
  <rcc rId="652" sId="2">
    <nc r="O17">
      <f>O70--O73</f>
    </nc>
  </rcc>
  <rcc rId="653" sId="2" numFmtId="34">
    <nc r="P17">
      <v>1089558</v>
    </nc>
  </rcc>
  <rcc rId="654" sId="2" numFmtId="34">
    <nc r="Q17">
      <v>1152234</v>
    </nc>
  </rcc>
  <rcc rId="655" sId="2" numFmtId="34">
    <nc r="R17">
      <v>1129955</v>
    </nc>
  </rcc>
  <rcc rId="656" sId="2" numFmtId="34">
    <nc r="S17">
      <v>828689</v>
    </nc>
  </rcc>
  <rcc rId="657" sId="2">
    <nc r="S27">
      <f>S3+S4+S5+S6+S10+S12+S14+S15+S16+S18+S19+S20+S21+S22+S24+S25+S26+S17</f>
    </nc>
  </rcc>
  <rcc rId="658" sId="2" odxf="1" dxf="1">
    <oc r="B16" t="inlineStr">
      <is>
        <t>Aktywa stanowiące zabezpieczenie zobowiązań</t>
      </is>
    </oc>
    <nc r="B16" t="inlineStr">
      <is>
        <t>- kapitałowe inwestycyjne aktywa finansowe wyceniane w wartości godziwej przez wynik finansowy</t>
      </is>
    </nc>
    <ndxf>
      <font>
        <sz val="8"/>
        <color auto="1"/>
        <name val="Open Sans"/>
        <scheme val="none"/>
      </font>
      <alignment vertical="center" readingOrder="0"/>
      <border outline="0">
        <right/>
      </border>
    </ndxf>
  </rcc>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Q1" start="0" length="0">
    <dxf>
      <font>
        <b/>
        <sz val="8"/>
        <color rgb="FFCC0000"/>
        <name val="Open Sans"/>
        <scheme val="none"/>
      </font>
      <alignment horizontal="right" vertical="center" wrapText="0" readingOrder="0"/>
      <border outline="0">
        <top style="thin">
          <color indexed="9"/>
        </top>
        <bottom style="medium">
          <color rgb="FFCC0000"/>
        </bottom>
      </border>
    </dxf>
  </rfmt>
  <rfmt sheetId="7" sqref="Q2" start="0" length="0">
    <dxf>
      <font>
        <sz val="8"/>
        <color auto="1"/>
        <name val="Open Sans"/>
        <scheme val="none"/>
      </font>
      <alignment horizontal="right" vertical="center" indent="1" readingOrder="0"/>
      <border outline="0">
        <top style="dotted">
          <color rgb="FF6F7779"/>
        </top>
        <bottom style="dotted">
          <color rgb="FF6F7779"/>
        </bottom>
      </border>
    </dxf>
  </rfmt>
  <rfmt sheetId="7" sqref="Q3" start="0" length="0">
    <dxf>
      <font>
        <sz val="8"/>
        <color auto="1"/>
        <name val="Open Sans"/>
        <scheme val="none"/>
      </font>
      <alignment horizontal="right" vertical="center" indent="1" readingOrder="0"/>
      <border outline="0">
        <top style="dotted">
          <color rgb="FF6F7779"/>
        </top>
        <bottom style="dotted">
          <color rgb="FF6F7779"/>
        </bottom>
      </border>
    </dxf>
  </rfmt>
  <rfmt sheetId="7" sqref="Q4" start="0" length="0">
    <dxf>
      <font>
        <sz val="8"/>
        <color auto="1"/>
        <name val="Open Sans"/>
        <scheme val="none"/>
      </font>
      <alignment horizontal="right" vertical="center" indent="1" readingOrder="0"/>
      <border outline="0">
        <top style="dotted">
          <color rgb="FF6F7779"/>
        </top>
        <bottom style="dotted">
          <color rgb="FF6F7779"/>
        </bottom>
      </border>
    </dxf>
  </rfmt>
  <rcc rId="818" sId="7" odxf="1" dxf="1" numFmtId="34">
    <nc r="Q5">
      <v>0</v>
    </nc>
    <odxf>
      <font>
        <sz val="11"/>
        <color theme="1"/>
        <name val="Calibri"/>
        <scheme val="minor"/>
      </font>
      <alignment horizontal="general" vertical="bottom" indent="0" readingOrder="0"/>
      <border outline="0">
        <top/>
        <bottom/>
      </border>
    </odxf>
    <ndxf>
      <font>
        <sz val="8"/>
        <color auto="1"/>
        <name val="Open Sans"/>
        <scheme val="none"/>
      </font>
      <alignment horizontal="right" vertical="center" indent="1" readingOrder="0"/>
      <border outline="0">
        <top style="dotted">
          <color rgb="FF6F7779"/>
        </top>
        <bottom style="dotted">
          <color rgb="FF6F7779"/>
        </bottom>
      </border>
    </ndxf>
  </rcc>
  <rcc rId="819" sId="7" odxf="1" dxf="1" numFmtId="34">
    <nc r="Q6">
      <v>0</v>
    </nc>
    <odxf>
      <font>
        <sz val="11"/>
        <color theme="1"/>
        <name val="Calibri"/>
        <scheme val="minor"/>
      </font>
      <alignment horizontal="general" vertical="bottom" indent="0" readingOrder="0"/>
      <border outline="0">
        <top/>
        <bottom/>
      </border>
    </odxf>
    <ndxf>
      <font>
        <sz val="8"/>
        <color auto="1"/>
        <name val="Open Sans"/>
        <scheme val="none"/>
      </font>
      <alignment horizontal="right" vertical="center" indent="1" readingOrder="0"/>
      <border outline="0">
        <top style="dotted">
          <color rgb="FF6F7779"/>
        </top>
        <bottom style="dotted">
          <color rgb="FF6F7779"/>
        </bottom>
      </border>
    </ndxf>
  </rcc>
  <rfmt sheetId="7" sqref="Q7" start="0" length="0">
    <dxf>
      <font>
        <sz val="8"/>
        <color auto="1"/>
        <name val="Open Sans"/>
        <scheme val="none"/>
      </font>
      <alignment horizontal="right" vertical="center" indent="1" readingOrder="0"/>
      <border outline="0">
        <top style="dotted">
          <color rgb="FF6F7779"/>
        </top>
        <bottom style="dotted">
          <color rgb="FF6F7779"/>
        </bottom>
      </border>
    </dxf>
  </rfmt>
  <rcc rId="820" sId="7" odxf="1" dxf="1">
    <nc r="Q8">
      <f>SUM(Q2:Q7)</f>
    </nc>
    <odxf>
      <font>
        <b val="0"/>
        <sz val="11"/>
        <color theme="1"/>
        <name val="Calibri"/>
        <scheme val="minor"/>
      </font>
      <alignment horizontal="general" vertical="bottom" indent="0" readingOrder="0"/>
      <border outline="0">
        <top/>
        <bottom/>
      </border>
    </odxf>
    <ndxf>
      <font>
        <b/>
        <sz val="8"/>
        <color auto="1"/>
        <name val="Open Sans"/>
        <scheme val="none"/>
      </font>
      <alignment horizontal="right" vertical="center" indent="1" readingOrder="0"/>
      <border outline="0">
        <top style="dotted">
          <color rgb="FF6F7779"/>
        </top>
        <bottom style="dotted">
          <color rgb="FF6F7779"/>
        </bottom>
      </border>
    </ndxf>
  </rcc>
  <rfmt sheetId="7" sqref="Q9" start="0" length="0">
    <dxf>
      <font>
        <sz val="8"/>
        <color auto="1"/>
        <name val="Open Sans"/>
        <scheme val="none"/>
      </font>
      <alignment horizontal="right" vertical="center" indent="1" readingOrder="0"/>
      <border outline="0">
        <top style="dotted">
          <color rgb="FF6F7779"/>
        </top>
        <bottom style="dotted">
          <color rgb="FF6F7779"/>
        </bottom>
      </border>
    </dxf>
  </rfmt>
  <rfmt sheetId="7" sqref="Q10" start="0" length="0">
    <dxf>
      <font>
        <sz val="8"/>
        <color auto="1"/>
        <name val="Open Sans"/>
        <scheme val="none"/>
      </font>
      <alignment horizontal="right" vertical="center" indent="1" readingOrder="0"/>
      <border outline="0">
        <top style="dotted">
          <color rgb="FF6F7779"/>
        </top>
        <bottom style="dotted">
          <color rgb="FF6F7779"/>
        </bottom>
      </border>
    </dxf>
  </rfmt>
  <rcc rId="821" sId="7" odxf="1" s="1" dxf="1">
    <nc r="Q11">
      <f>SUM(Q9:Q10)</f>
    </nc>
    <odxf>
      <font>
        <b val="0"/>
        <i val="0"/>
        <strike val="0"/>
        <condense val="0"/>
        <extend val="0"/>
        <outline val="0"/>
        <shadow val="0"/>
        <u val="none"/>
        <vertAlign val="baseline"/>
        <sz val="11"/>
        <color theme="1"/>
        <name val="Calibri"/>
        <scheme val="minor"/>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auto="1"/>
        <name val="Open Sans"/>
        <scheme val="none"/>
      </font>
      <alignment horizontal="right" vertical="center" indent="1" readingOrder="0"/>
    </ndxf>
  </rcc>
  <rcc rId="822" sId="7" odxf="1" dxf="1">
    <nc r="Q12">
      <f>Q8+Q11</f>
    </nc>
    <odxf>
      <font>
        <b val="0"/>
        <sz val="11"/>
        <color theme="1"/>
        <name val="Calibri"/>
        <scheme val="minor"/>
      </font>
      <alignment horizontal="general" vertical="bottom" readingOrder="0"/>
      <border outline="0">
        <top/>
        <bottom/>
      </border>
    </odxf>
    <ndxf>
      <font>
        <b/>
        <sz val="8"/>
        <color rgb="FFEC0000"/>
        <name val="Open Sans"/>
        <scheme val="none"/>
      </font>
      <alignment horizontal="right" vertical="center" readingOrder="0"/>
      <border outline="0">
        <top style="thin">
          <color rgb="FFEC0000"/>
        </top>
        <bottom style="thin">
          <color rgb="FFEC0000"/>
        </bottom>
      </border>
    </ndxf>
  </rcc>
  <rcc rId="823" sId="7">
    <nc r="Q1" t="inlineStr">
      <is>
        <t>III Q 2020</t>
      </is>
    </nc>
  </rcc>
  <rcc rId="824" sId="7">
    <oc r="A4" t="inlineStr">
      <is>
        <t>Zmiana wartości godziwej dłużnych inwestycyjnych aktywów finansowych obowiązkowo wycenianych 
w wartości godziwej przez wynik finansowy</t>
      </is>
    </oc>
    <nc r="A4" t="inlineStr">
      <is>
        <t>Zmiana wartości godziwej inwestycyjnych aktywów finansowych obowiązkowo wycenianych 
w wartości godziwej przez wynik finansowy</t>
      </is>
    </nc>
  </rcc>
  <rcc rId="825" sId="7">
    <oc r="B4" t="inlineStr">
      <is>
        <t>Change in fair value of debt securities mandatorily measured at fair value through profit or loss</t>
      </is>
    </oc>
    <nc r="B4" t="inlineStr">
      <is>
        <t>Change in fair value of financial securities mandatorily measured at fair value through profit or loss</t>
      </is>
    </nc>
  </rcc>
  <rcc rId="826" sId="7" numFmtId="34">
    <nc r="Q2">
      <v>109596</v>
    </nc>
  </rcc>
  <rcc rId="827" sId="7" numFmtId="34">
    <nc r="Q3">
      <v>0</v>
    </nc>
  </rcc>
  <rcc rId="828" sId="7" numFmtId="34">
    <nc r="Q4">
      <v>11755</v>
    </nc>
  </rcc>
  <rcc rId="829" sId="7" numFmtId="34">
    <nc r="Q7">
      <v>0</v>
    </nc>
  </rcc>
  <rcc rId="830" sId="7" numFmtId="34">
    <nc r="Q9">
      <v>22906</v>
    </nc>
  </rcc>
  <rcc rId="831" sId="7" numFmtId="34">
    <nc r="Q10">
      <v>-16155</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P13:Q13" start="0" length="2147483647">
    <dxf>
      <font>
        <color rgb="FFFF0000"/>
      </font>
    </dxf>
  </rfmt>
  <rcc rId="832" sId="7">
    <nc r="Q13">
      <f>'P&amp;L'!Q13-Q12</f>
    </nc>
  </rcc>
  <rfmt sheetId="7" sqref="P13:Q14" start="0" length="2147483647">
    <dxf>
      <font>
        <color theme="0"/>
      </font>
    </dxf>
  </rfmt>
  <rcv guid="{25FAB884-5E17-4008-8139-33D910C7DEFE}" action="delete"/>
  <rdn rId="0" localSheetId="2" customView="1" name="Z_25FAB884_5E17_4008_8139_33D910C7DEFE_.wvu.PrintArea" hidden="1" oldHidden="1">
    <formula>BS!$A$1:$P$50</formula>
    <oldFormula>BS!$A$1:$P$50</oldFormula>
  </rdn>
  <rcv guid="{25FAB884-5E17-4008-8139-33D910C7DEFE}"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 sId="5" numFmtId="34">
    <nc r="Q2">
      <v>-330755</v>
    </nc>
  </rcc>
  <rcc rId="835" sId="5" numFmtId="34">
    <nc r="Q3">
      <v>-57115</v>
    </nc>
  </rcc>
  <rcc rId="836" sId="5" numFmtId="34">
    <nc r="Q4">
      <v>-2274</v>
    </nc>
  </rcc>
  <rcc rId="837" sId="5" numFmtId="34">
    <nc r="Q5">
      <v>-2080</v>
    </nc>
  </rcc>
  <rcc rId="838" sId="5" numFmtId="34">
    <nc r="Q6">
      <v>-9122</v>
    </nc>
  </rcc>
  <rcc rId="839" sId="5" numFmtId="34">
    <nc r="Q7">
      <v>-4</v>
    </nc>
  </rcc>
  <rcc rId="840" sId="5" numFmtId="34">
    <nc r="Q8">
      <v>-4313</v>
    </nc>
  </rcc>
  <rcc rId="841" sId="5" numFmtId="34">
    <nc r="Q13">
      <v>-15476</v>
    </nc>
  </rcc>
  <rcc rId="842" sId="5" numFmtId="34">
    <nc r="Q14">
      <v>-81851</v>
    </nc>
  </rcc>
  <rcc rId="843" sId="5" numFmtId="34">
    <nc r="Q15">
      <v>-22874</v>
    </nc>
  </rcc>
  <rcc rId="844" sId="5" numFmtId="34">
    <nc r="Q16">
      <v>-10036</v>
    </nc>
  </rcc>
  <rcc rId="845" sId="5" numFmtId="34">
    <nc r="Q17">
      <v>-1194</v>
    </nc>
  </rcc>
  <rcc rId="846" sId="5" numFmtId="34">
    <nc r="Q18">
      <v>-35076</v>
    </nc>
  </rcc>
  <rcc rId="847" sId="5" numFmtId="34">
    <nc r="Q19">
      <v>-6187</v>
    </nc>
  </rcc>
  <rcc rId="848" sId="5" numFmtId="34">
    <nc r="Q20">
      <v>-31078</v>
    </nc>
  </rcc>
  <rcc rId="849" sId="5" numFmtId="34">
    <nc r="Q21">
      <v>-49562</v>
    </nc>
  </rcc>
  <rcc rId="850" sId="5" numFmtId="34">
    <nc r="Q22">
      <v>-23300</v>
    </nc>
  </rcc>
  <rcc rId="851" sId="5" numFmtId="34">
    <nc r="Q23">
      <v>-14678</v>
    </nc>
  </rcc>
  <rcc rId="852" sId="5" numFmtId="34">
    <nc r="Q24">
      <v>-2808</v>
    </nc>
  </rcc>
  <rcc rId="853" sId="5" numFmtId="34">
    <nc r="Q25">
      <v>-7362</v>
    </nc>
  </rcc>
  <rcc rId="854" sId="5" numFmtId="34">
    <nc r="Q26">
      <v>-5476</v>
    </nc>
  </rcc>
  <rcc rId="855" sId="5" numFmtId="34">
    <nc r="Q27">
      <v>-2419</v>
    </nc>
  </rcc>
  <rcc rId="856" sId="5" numFmtId="34">
    <nc r="Q29">
      <v>-11189</v>
    </nc>
  </rcc>
  <rcc rId="857" sId="5" numFmtId="34">
    <nc r="Q28">
      <v>-2982</v>
    </nc>
  </rcc>
  <rcc rId="858" sId="5">
    <nc r="R34">
      <v>-247198</v>
    </nc>
  </rcc>
  <rcc rId="859" sId="5">
    <nc r="R35">
      <v>-122301</v>
    </nc>
  </rcc>
  <rcc rId="860" sId="5">
    <nc r="R33">
      <f>SUM(R34:R35)</f>
    </nc>
  </rcc>
  <rcc rId="861" sId="5" numFmtId="34">
    <nc r="Q34">
      <f>R34-O34-P34</f>
    </nc>
  </rcc>
  <rcc rId="862" sId="5" numFmtId="34">
    <nc r="Q35">
      <f>R35-O35-P35</f>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3" sId="5" numFmtId="34">
    <oc r="Q34">
      <f>R34-O34-P34</f>
    </oc>
    <nc r="Q34">
      <v>0</v>
    </nc>
  </rcc>
  <rcc rId="864" sId="5" numFmtId="34">
    <oc r="Q35">
      <f>R35-O35-P35</f>
    </oc>
    <nc r="Q35">
      <v>-41483</v>
    </nc>
  </rcc>
  <rcc rId="865" sId="5">
    <oc r="R33">
      <f>SUM(R34:R35)</f>
    </oc>
    <nc r="R33"/>
  </rcc>
  <rcc rId="866" sId="5">
    <oc r="R34">
      <v>-247198</v>
    </oc>
    <nc r="R34"/>
  </rcc>
  <rcc rId="867" sId="5">
    <oc r="R35">
      <v>-122301</v>
    </oc>
    <nc r="R35"/>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68" sId="9" ref="A13:XFD13" action="insertRow">
    <undo index="0" exp="area" ref3D="1" dr="$C$1:$O$1048576" dn="Z_9AF4A83C_CF57_4B40_8A74_6A0EA6C2FE5C_.wvu.Cols" sId="9"/>
  </rrc>
  <rrc rId="869" sId="9" ref="A13:XFD13" action="insertRow">
    <undo index="0" exp="area" ref3D="1" dr="$C$1:$O$1048576" dn="Z_9AF4A83C_CF57_4B40_8A74_6A0EA6C2FE5C_.wvu.Cols" sId="9"/>
  </rrc>
  <rrc rId="870" sId="9" ref="A13:XFD13" action="insertRow">
    <undo index="0" exp="area" ref3D="1" dr="$C$1:$O$1048576" dn="Z_9AF4A83C_CF57_4B40_8A74_6A0EA6C2FE5C_.wvu.Cols" sId="9"/>
  </rrc>
  <rcc rId="871" sId="9">
    <nc r="A13" t="inlineStr">
      <is>
        <t>Kapitałowe inwestycyjne aktywa finansowe wyceniane w wartości godziwej przez 
wynik finansowy</t>
      </is>
    </nc>
  </rcc>
  <rcc rId="872" sId="9">
    <nc r="A14" t="inlineStr">
      <is>
        <t>- notowane</t>
      </is>
    </nc>
  </rcc>
  <rcc rId="873" sId="9">
    <nc r="A15" t="inlineStr">
      <is>
        <t>- nienotowane</t>
      </is>
    </nc>
  </rcc>
  <rfmt sheetId="9" sqref="A14:B15" start="0" length="2147483647">
    <dxf>
      <font>
        <b val="0"/>
      </font>
    </dxf>
  </rfmt>
  <rcc rId="874" sId="9">
    <nc r="B14" t="inlineStr">
      <is>
        <t>- listed</t>
      </is>
    </nc>
  </rcc>
  <rcc rId="875" sId="9">
    <nc r="B15" t="inlineStr">
      <is>
        <t>- unlisted</t>
      </is>
    </nc>
  </rcc>
  <rcc rId="876" sId="9">
    <nc r="B13" t="inlineStr">
      <is>
        <t>Equity securities measured at fair value through profit and loss</t>
      </is>
    </nc>
  </rcc>
  <rfmt sheetId="9" s="1" sqref="M13" start="0" length="0">
    <dxf>
      <font>
        <sz val="8"/>
        <color auto="1"/>
        <name val="Open Sans"/>
        <scheme val="none"/>
      </font>
    </dxf>
  </rfmt>
  <rfmt sheetId="9" s="1" sqref="N13" start="0" length="0">
    <dxf>
      <font>
        <sz val="8"/>
        <color auto="1"/>
        <name val="Open Sans"/>
        <scheme val="none"/>
      </font>
    </dxf>
  </rfmt>
  <rfmt sheetId="9" s="1" sqref="O13" start="0" length="0">
    <dxf>
      <font>
        <sz val="8"/>
        <color auto="1"/>
        <name val="Open Sans"/>
        <scheme val="none"/>
      </font>
    </dxf>
  </rfmt>
  <rfmt sheetId="9" s="1" sqref="P13" start="0" length="0">
    <dxf>
      <font>
        <sz val="8"/>
        <color auto="1"/>
        <name val="Open Sans"/>
        <scheme val="none"/>
      </font>
    </dxf>
  </rfmt>
  <rfmt sheetId="9" s="1" sqref="Q13" start="0" length="0">
    <dxf>
      <font>
        <sz val="8"/>
        <color auto="1"/>
        <name val="Open Sans"/>
        <scheme val="none"/>
      </font>
    </dxf>
  </rfmt>
  <rrc rId="877" sId="9" ref="A14:XFD14" action="deleteRow">
    <undo index="0" exp="ref" dr="Q14" r="Q13" sId="9"/>
    <undo index="0" exp="ref" dr="P14" r="P13" sId="9"/>
    <undo index="0" exp="ref" dr="O14" r="O13" sId="9"/>
    <undo index="0" exp="ref" dr="N14" r="N13" sId="9"/>
    <undo index="0" exp="ref" dr="M14" r="M13" sId="9"/>
    <undo index="0" exp="ref" dr="L14" r="L13" sId="9"/>
    <undo index="0" exp="ref" dr="K14" r="K13" sId="9"/>
    <undo index="0" exp="ref" dr="J14" r="J13" sId="9"/>
    <undo index="0" exp="ref" dr="I14" r="I13" sId="9"/>
    <undo index="0" exp="ref" dr="H14" r="H13" sId="9"/>
    <undo index="0" exp="ref" dr="G14" r="G13" sId="9"/>
    <undo index="0" exp="area" ref3D="1" dr="$C$1:$O$1048576" dn="Z_9AF4A83C_CF57_4B40_8A74_6A0EA6C2FE5C_.wvu.Cols" sId="9"/>
    <rfmt sheetId="9" xfDxf="1" sqref="A14:XFD14" start="0" length="0"/>
    <rcc rId="0" sId="9" s="1" dxf="1">
      <nc r="A14" t="inlineStr">
        <is>
          <t>- notowane</t>
        </is>
      </nc>
      <ndxf>
        <font>
          <sz val="8"/>
          <color auto="1"/>
          <name val="Open Sans"/>
          <scheme val="none"/>
        </font>
        <alignment horizontal="left" vertical="center" wrapText="1" readingOrder="0"/>
        <border outline="0">
          <top style="dotted">
            <color rgb="FF6F7779"/>
          </top>
          <bottom style="dotted">
            <color rgb="FF6F7779"/>
          </bottom>
        </border>
      </ndxf>
    </rcc>
    <rcc rId="0" sId="9" s="1" dxf="1">
      <nc r="B14" t="inlineStr">
        <is>
          <t>- listed</t>
        </is>
      </nc>
      <ndxf>
        <font>
          <sz val="8"/>
          <color auto="1"/>
          <name val="Open Sans"/>
          <scheme val="none"/>
        </font>
        <alignment horizontal="left" vertical="center" wrapText="1" readingOrder="0"/>
        <border outline="0">
          <top style="dotted">
            <color rgb="FF6F7779"/>
          </top>
          <bottom style="dotted">
            <color rgb="FF6F7779"/>
          </bottom>
        </border>
      </ndxf>
    </rcc>
    <rfmt sheetId="9" s="1" sqref="C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D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E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F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G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H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I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J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K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L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M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N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O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P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rc>
  <rrc rId="878" sId="9" ref="A14:XFD14" action="deleteRow">
    <undo index="0" exp="area" ref3D="1" dr="$C$1:$O$1048576" dn="Z_9AF4A83C_CF57_4B40_8A74_6A0EA6C2FE5C_.wvu.Cols" sId="9"/>
    <rfmt sheetId="9" xfDxf="1" sqref="A14:XFD14" start="0" length="0"/>
    <rcc rId="0" sId="9" s="1" dxf="1">
      <nc r="A14" t="inlineStr">
        <is>
          <t>- nienotowane</t>
        </is>
      </nc>
      <ndxf>
        <font>
          <sz val="8"/>
          <color auto="1"/>
          <name val="Open Sans"/>
          <scheme val="none"/>
        </font>
        <alignment horizontal="left" vertical="center" wrapText="1" readingOrder="0"/>
        <border outline="0">
          <top style="dotted">
            <color rgb="FF6F7779"/>
          </top>
          <bottom style="dotted">
            <color rgb="FF6F7779"/>
          </bottom>
        </border>
      </ndxf>
    </rcc>
    <rcc rId="0" sId="9" s="1" dxf="1">
      <nc r="B14" t="inlineStr">
        <is>
          <t>- unlisted</t>
        </is>
      </nc>
      <ndxf>
        <font>
          <sz val="8"/>
          <color auto="1"/>
          <name val="Open Sans"/>
          <scheme val="none"/>
        </font>
        <alignment horizontal="left" vertical="center" wrapText="1" readingOrder="0"/>
        <border outline="0">
          <top style="dotted">
            <color rgb="FF6F7779"/>
          </top>
          <bottom style="dotted">
            <color rgb="FF6F7779"/>
          </bottom>
        </border>
      </ndxf>
    </rcc>
    <rfmt sheetId="9" s="1" sqref="C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D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E14" start="0" length="0">
      <dxf>
        <font>
          <b/>
          <sz val="8"/>
          <color rgb="FFFF0000"/>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F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G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H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I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J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K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L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M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N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O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P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Q14"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rc>
  <rfmt sheetId="9" sqref="R2" start="0" length="0">
    <dxf>
      <font>
        <b/>
        <sz val="8"/>
        <color rgb="FFCC0000"/>
        <name val="Open Sans"/>
        <scheme val="none"/>
      </font>
      <numFmt numFmtId="19" formatCode="dd/mm/yyyy"/>
      <alignment horizontal="right" vertical="center" wrapText="1" readingOrder="0"/>
      <border outline="0">
        <bottom style="medium">
          <color rgb="FFCC0000"/>
        </bottom>
      </border>
    </dxf>
  </rfmt>
  <rcc rId="879" sId="9" odxf="1" dxf="1">
    <nc r="R3">
      <f>R5+R8+R10</f>
    </nc>
    <odxf>
      <font>
        <b val="0"/>
        <sz val="11"/>
        <color theme="1"/>
        <name val="Calibri"/>
        <scheme val="minor"/>
      </font>
      <numFmt numFmtId="0" formatCode="General"/>
      <alignment horizontal="general" vertical="bottom" wrapText="0" readingOrder="0"/>
    </odxf>
    <ndxf>
      <font>
        <b/>
        <sz val="8"/>
        <color auto="1"/>
        <name val="Open Sans"/>
        <scheme val="none"/>
      </font>
      <numFmt numFmtId="165" formatCode="_(* #\ ###\ ##0_);_(* \(#\ ###\ ##0\);_(* &quot;-&quot;_);_(@_)"/>
      <alignment horizontal="right" vertical="center" wrapText="1" readingOrder="0"/>
    </ndxf>
  </rcc>
  <rfmt sheetId="9" sqref="R4" start="0" length="0">
    <dxf>
      <font>
        <b/>
        <sz val="8"/>
        <color auto="1"/>
        <name val="Open Sans"/>
        <scheme val="none"/>
      </font>
      <alignment horizontal="left" vertical="center" wrapText="1" readingOrder="0"/>
      <border outline="0">
        <top style="dotted">
          <color rgb="FF6F7779"/>
        </top>
        <bottom style="dotted">
          <color rgb="FF6F7779"/>
        </bottom>
      </border>
    </dxf>
  </rfmt>
  <rcc rId="880" sId="9" odxf="1" dxf="1">
    <nc r="R5">
      <f>R7+R6</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R6"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R7"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881" sId="9" odxf="1" dxf="1">
    <nc r="R8">
      <f>R9</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R9"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882" sId="9" odxf="1" dxf="1">
    <nc r="R10">
      <f>R11</f>
    </nc>
    <odxf>
      <font>
        <sz val="11"/>
        <color theme="1"/>
        <name val="Calibri"/>
        <scheme val="minor"/>
      </font>
      <numFmt numFmtId="0" formatCode="General"/>
      <alignment horizontal="general" vertical="bottom" indent="0" readingOrder="0"/>
      <border outline="0">
        <top/>
        <bottom/>
      </border>
    </odxf>
    <n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R11"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R12"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R13"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883" sId="9" odxf="1" dxf="1">
    <nc r="R14">
      <f>R16+R17</f>
    </nc>
    <odxf>
      <font>
        <b val="0"/>
        <sz val="11"/>
        <color theme="1"/>
        <name val="Calibri"/>
        <scheme val="minor"/>
      </font>
      <numFmt numFmtId="0" formatCode="General"/>
      <alignment horizontal="general" vertical="bottom" indent="0" readingOrder="0"/>
      <border outline="0">
        <top/>
        <bottom/>
      </border>
    </odxf>
    <n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ndxf>
  </rcc>
  <rfmt sheetId="9" sqref="R15" start="0" length="0">
    <dxf>
      <font>
        <b/>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R16"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qref="R17"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9" s="1" sqref="R18" start="0" length="0">
    <dxf>
      <font>
        <b/>
        <sz val="8"/>
        <color rgb="FFEC0000"/>
        <name val="Open Sans"/>
        <scheme val="none"/>
      </font>
      <numFmt numFmtId="165" formatCode="_(* #\ ###\ ##0_);_(* \(#\ ###\ ##0\);_(* &quot;-&quot;_);_(@_)"/>
      <alignment horizontal="right" readingOrder="0"/>
      <border outline="0">
        <top style="thin">
          <color rgb="FFEC0000"/>
        </top>
        <bottom style="thin">
          <color rgb="FFEC0000"/>
        </bottom>
      </border>
    </dxf>
  </rfmt>
  <rcc rId="884" sId="9" numFmtId="19">
    <nc r="R2">
      <v>44104</v>
    </nc>
  </rcc>
  <rfmt sheetId="9" sqref="I19:R19" start="0" length="2147483647">
    <dxf>
      <font>
        <color theme="1" tint="0.499984740745262"/>
      </font>
    </dxf>
  </rfmt>
  <rcc rId="885" sId="9">
    <oc r="I18">
      <f>I3+I12+I14</f>
    </oc>
    <nc r="I18">
      <f>I3+I12+I13+I14</f>
    </nc>
  </rcc>
  <rcc rId="886" sId="9">
    <oc r="J18">
      <f>J3+J12+J14</f>
    </oc>
    <nc r="J18">
      <f>J3+J12+J13+J14</f>
    </nc>
  </rcc>
  <rcc rId="887" sId="9">
    <oc r="K18">
      <f>K3+K12+K14</f>
    </oc>
    <nc r="K18">
      <f>K3+K12+K13+K14</f>
    </nc>
  </rcc>
  <rcc rId="888" sId="9">
    <oc r="L18">
      <f>L3+L12+L14</f>
    </oc>
    <nc r="L18">
      <f>L3+L12+L13+L14</f>
    </nc>
  </rcc>
  <rcc rId="889" sId="9">
    <oc r="M18">
      <f>M3+M12+M14</f>
    </oc>
    <nc r="M18">
      <f>M3+M12+M13+M14</f>
    </nc>
  </rcc>
  <rcc rId="890" sId="9">
    <oc r="N18">
      <f>N3+N12+N14</f>
    </oc>
    <nc r="N18">
      <f>N3+N12+N13+N14</f>
    </nc>
  </rcc>
  <rcc rId="891" sId="9">
    <oc r="O18">
      <f>O3+O12+O14</f>
    </oc>
    <nc r="O18">
      <f>O3+O12+O13+O14</f>
    </nc>
  </rcc>
  <rcc rId="892" sId="9">
    <oc r="P18">
      <f>P3+P12+P14</f>
    </oc>
    <nc r="P18">
      <f>P3+P12+P13+P14</f>
    </nc>
  </rcc>
  <rcc rId="893" sId="9">
    <oc r="Q18">
      <f>Q3+Q12+Q14</f>
    </oc>
    <nc r="Q18">
      <f>Q3+Q12+Q13+Q14</f>
    </nc>
  </rcc>
  <rcc rId="894" sId="9">
    <nc r="R18">
      <f>R3+R12+R13+R14</f>
    </nc>
  </rcc>
  <rfmt sheetId="9" sqref="Q19:R19" start="0" length="2147483647">
    <dxf>
      <font/>
    </dxf>
  </rfmt>
  <rcc rId="895" sId="9" odxf="1" dxf="1">
    <nc r="Q19">
      <f>BS!R12-Q18</f>
    </nc>
    <odxf>
      <numFmt numFmtId="0" formatCode="General"/>
    </odxf>
    <ndxf>
      <numFmt numFmtId="165" formatCode="_(* #\ ###\ ##0_);_(* \(#\ ###\ ##0\);_(* &quot;-&quot;_);_(@_)"/>
    </ndxf>
  </rcc>
  <rcc rId="896" sId="9" odxf="1" dxf="1">
    <nc r="R19">
      <f>BS!S12-R18</f>
    </nc>
    <odxf>
      <numFmt numFmtId="0" formatCode="General"/>
    </odxf>
    <ndxf>
      <numFmt numFmtId="165" formatCode="_(* #\ ###\ ##0_);_(* \(#\ ###\ ##0\);_(* &quot;-&quot;_);_(@_)"/>
    </ndxf>
  </rcc>
  <rcc rId="897" sId="9" numFmtId="34">
    <nc r="R6">
      <v>1415156</v>
    </nc>
  </rcc>
  <rcc rId="898" sId="9" numFmtId="34">
    <nc r="R7">
      <v>44522921</v>
    </nc>
  </rcc>
  <rcc rId="899" sId="9" numFmtId="34">
    <nc r="R9">
      <v>0</v>
    </nc>
  </rcc>
  <rcc rId="900" sId="9" numFmtId="34">
    <nc r="R11">
      <v>14253940</v>
    </nc>
  </rcc>
  <rcc rId="901" sId="9" numFmtId="34">
    <nc r="R16">
      <v>24328</v>
    </nc>
  </rcc>
  <rcc rId="902" sId="9" numFmtId="34">
    <nc r="R17">
      <v>783936</v>
    </nc>
  </rcc>
  <rcc rId="903" sId="9" numFmtId="34">
    <nc r="R12">
      <f>103259+436</f>
    </nc>
  </rcc>
  <rrc rId="904" sId="9" ref="A14:XFD14" action="insertRow">
    <undo index="0" exp="area" ref3D="1" dr="$C$1:$O$1048576" dn="Z_9AF4A83C_CF57_4B40_8A74_6A0EA6C2FE5C_.wvu.Cols" sId="9"/>
  </rrc>
  <rcc rId="905" sId="9">
    <nc r="A14" t="inlineStr">
      <is>
        <t>- nienotowane</t>
      </is>
    </nc>
  </rcc>
  <rfmt sheetId="9" sqref="A14:XFD14" start="0" length="2147483647">
    <dxf>
      <font>
        <b val="0"/>
      </font>
    </dxf>
  </rfmt>
  <rcc rId="906" sId="9" numFmtId="34">
    <nc r="R13">
      <f>R14</f>
    </nc>
  </rcc>
  <rcc rId="907" sId="9" numFmtId="34">
    <nc r="R14">
      <v>105973</v>
    </nc>
  </rcc>
  <rcc rId="908" sId="9">
    <nc r="B14" t="inlineStr">
      <is>
        <t>- unlisted</t>
      </is>
    </nc>
  </rcc>
  <rfmt sheetId="9" sqref="I20:R20" start="0" length="2147483647">
    <dxf>
      <font>
        <color theme="0"/>
      </font>
    </dxf>
  </rfmt>
  <rfmt sheetId="13" sqref="R1" start="0" length="0">
    <dxf>
      <font>
        <b/>
        <sz val="8"/>
        <color rgb="FFC00000"/>
        <name val="Open Sans"/>
        <scheme val="none"/>
      </font>
      <numFmt numFmtId="19" formatCode="dd/mm/yyyy"/>
      <alignment horizontal="right" vertical="top" readingOrder="0"/>
      <border outline="0">
        <bottom style="medium">
          <color rgb="FFC00000"/>
        </bottom>
      </border>
    </dxf>
  </rfmt>
  <rcc rId="909" sId="13" odxf="1" dxf="1">
    <nc r="R2">
      <f>SUM(R3:R5)</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R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4"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5"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910" sId="13" odxf="1" dxf="1">
    <nc r="R6">
      <f>R7+R14</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911" sId="13" odxf="1" dxf="1">
    <nc r="R7">
      <f>R8+R10+R12</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912" sId="13" odxf="1" dxf="1">
    <nc r="R8">
      <f>R9</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R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913" sId="13" odxf="1" dxf="1">
    <nc r="R10">
      <f>R11</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R11"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914" sId="13" odxf="1" dxf="1">
    <nc r="R12">
      <f>R13</f>
    </nc>
    <odxf>
      <font>
        <sz val="8"/>
        <name val="Open Sans"/>
        <scheme val="none"/>
      </font>
      <numFmt numFmtId="0" formatCode="General"/>
      <alignment horizontal="general" vertical="bottom" readingOrder="0"/>
      <border outline="0">
        <top/>
        <bottom/>
      </border>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R1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14" start="0" length="0">
    <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915" sId="13" odxf="1" dxf="1">
    <nc r="R15">
      <f>R2+R6</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fmt sheetId="13" s="1" sqref="R16" start="0" length="0">
    <dxf>
      <font>
        <b/>
        <sz val="8"/>
        <color auto="1"/>
        <name val="Open Sans"/>
        <scheme val="none"/>
      </font>
      <numFmt numFmtId="165" formatCode="_(* #\ ###\ ##0_);_(* \(#\ ###\ ##0\);_(* &quot;-&quot;_);_(@_)"/>
      <alignment horizontal="center" vertical="center" readingOrder="0"/>
    </dxf>
  </rfmt>
  <rcc rId="916" sId="13" odxf="1" dxf="1">
    <nc r="R18">
      <f>R1</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3" sqref="R1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20" start="0" length="0">
    <dxf>
      <font>
        <sz val="8"/>
        <color auto="1"/>
        <name val="Open Sans"/>
        <scheme val="none"/>
      </font>
      <numFmt numFmtId="165" formatCode="_(* #\ ###\ ##0_);_(* \(#\ ###\ ##0\);_(* &quot;-&quot;_);_(@_)"/>
      <alignment horizontal="center" vertical="center" readingOrder="0"/>
    </dxf>
  </rfmt>
  <rcc rId="917" sId="13" odxf="1" s="1" dxf="1">
    <nc r="R21">
      <f>R19+R20</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918" sId="13" odxf="1" s="1" dxf="1">
    <nc r="R22">
      <f>R15+R21-BS!S5</f>
    </nc>
    <odxf>
      <font>
        <b val="0"/>
        <i val="0"/>
        <strike val="0"/>
        <condense val="0"/>
        <extend val="0"/>
        <outline val="0"/>
        <shadow val="0"/>
        <u val="none"/>
        <vertAlign val="baseline"/>
        <sz val="8"/>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theme="0"/>
        <name val="Open Sans"/>
        <scheme val="none"/>
      </font>
      <numFmt numFmtId="165" formatCode="_(* #\ ###\ ##0_);_(* \(#\ ###\ ##0\);_(* &quot;-&quot;_);_(@_)"/>
      <alignment horizontal="center" vertical="center" readingOrder="0"/>
    </ndxf>
  </rcc>
  <rfmt sheetId="13" sqref="R23" start="0" length="0">
    <dxf>
      <font>
        <sz val="8"/>
        <color rgb="FFFF0000"/>
        <name val="Open Sans"/>
        <scheme val="none"/>
      </font>
      <numFmt numFmtId="165" formatCode="_(* #\ ###\ ##0_);_(* \(#\ ###\ ##0\);_(* &quot;-&quot;_);_(@_)"/>
    </dxf>
  </rfmt>
  <rfmt sheetId="13" sqref="R24" start="0" length="0">
    <dxf>
      <font>
        <sz val="8"/>
        <color rgb="FFFF0000"/>
        <name val="Open Sans"/>
        <scheme val="none"/>
      </font>
      <numFmt numFmtId="165" formatCode="_(* #\ ###\ ##0_);_(* \(#\ ###\ ##0\);_(* &quot;-&quot;_);_(@_)"/>
    </dxf>
  </rfmt>
  <rfmt sheetId="13" sqref="R25" start="0" length="0">
    <dxf>
      <font>
        <sz val="8"/>
        <color auto="1"/>
        <name val="Open Sans"/>
        <scheme val="none"/>
      </font>
      <numFmt numFmtId="165" formatCode="_(* #\ ###\ ##0_);_(* \(#\ ###\ ##0\);_(* &quot;-&quot;_);_(@_)"/>
    </dxf>
  </rfmt>
  <rcc rId="919" sId="13" odxf="1" dxf="1">
    <nc r="R26">
      <f>R18</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cc rId="920" sId="13" odxf="1" dxf="1">
    <nc r="R27">
      <f>SUM(R28:R30)</f>
    </nc>
    <odxf>
      <font>
        <b val="0"/>
        <sz val="8"/>
        <name val="Open Sans"/>
        <scheme val="none"/>
      </font>
      <numFmt numFmtId="0" formatCode="General"/>
      <alignment horizontal="general" vertical="bottom" readingOrder="0"/>
      <border outline="0">
        <top/>
        <bottom/>
      </border>
    </odxf>
    <ndxf>
      <font>
        <b/>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3" sqref="R28"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2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30"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31" start="0" length="0">
    <dxf>
      <font>
        <b/>
        <sz val="8"/>
        <color auto="1"/>
        <name val="Open Sans"/>
        <scheme val="none"/>
      </font>
      <numFmt numFmtId="165" formatCode="_(* #\ ###\ ##0_);_(* \(#\ ###\ ##0\);_(* &quot;-&quot;_);_(@_)"/>
      <alignment horizontal="right" vertical="center" readingOrder="0"/>
    </dxf>
  </rfmt>
  <rcc rId="921" sId="13" odxf="1" dxf="1">
    <nc r="R32">
      <f>R27+R31</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922" sId="13" odxf="1" dxf="1">
    <nc r="R35">
      <f>R26</f>
    </nc>
    <odxf>
      <font>
        <b val="0"/>
        <sz val="8"/>
        <name val="Open Sans"/>
        <scheme val="none"/>
      </font>
      <numFmt numFmtId="0" formatCode="General"/>
      <alignment horizontal="general" vertical="bottom" readingOrder="0"/>
      <border outline="0">
        <bottom/>
      </border>
    </odxf>
    <ndxf>
      <font>
        <b/>
        <sz val="8"/>
        <color rgb="FFC00000"/>
        <name val="Open Sans"/>
        <scheme val="none"/>
      </font>
      <numFmt numFmtId="19" formatCode="dd/mm/yyyy"/>
      <alignment horizontal="right" vertical="top" readingOrder="0"/>
      <border outline="0">
        <bottom style="medium">
          <color rgb="FFC00000"/>
        </bottom>
      </border>
    </ndxf>
  </rcc>
  <rfmt sheetId="13" sqref="R36"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3" sqref="R37" start="0" length="0">
    <dxf>
      <font>
        <sz val="8"/>
        <color auto="1"/>
        <name val="Open Sans"/>
        <scheme val="none"/>
      </font>
      <numFmt numFmtId="165" formatCode="_(* #\ ###\ ##0_);_(* \(#\ ###\ ##0\);_(* &quot;-&quot;_);_(@_)"/>
      <alignment horizontal="center" vertical="center" readingOrder="0"/>
    </dxf>
  </rfmt>
  <rcc rId="923" sId="13" odxf="1" dxf="1">
    <nc r="R38">
      <f>R36+R37</f>
    </nc>
    <odxf>
      <font>
        <b val="0"/>
        <sz val="8"/>
        <name val="Open Sans"/>
        <scheme val="none"/>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center" vertical="center" readingOrder="0"/>
      <border outline="0">
        <top style="thin">
          <color rgb="FFEC0000"/>
        </top>
        <bottom style="thin">
          <color rgb="FFEC0000"/>
        </bottom>
      </border>
    </ndxf>
  </rcc>
  <rcc rId="924" sId="13" numFmtId="19">
    <nc r="R1">
      <v>44104</v>
    </nc>
  </rcc>
  <rfmt sheetId="13" sqref="Q16:R16" start="0" length="2147483647">
    <dxf>
      <font>
        <color theme="1"/>
      </font>
    </dxf>
  </rfmt>
  <rfmt sheetId="13" sqref="Q22:R22" start="0" length="2147483647">
    <dxf>
      <font>
        <color theme="1"/>
      </font>
    </dxf>
  </rfmt>
  <rfmt sheetId="13" sqref="Q39:R39" start="0" length="2147483647">
    <dxf>
      <font>
        <color theme="1"/>
      </font>
    </dxf>
  </rfmt>
  <rcc rId="925" sId="13" odxf="1" dxf="1">
    <nc r="R39">
      <f>R32+R38-BS!S30</f>
    </nc>
    <odxf>
      <numFmt numFmtId="0" formatCode="General"/>
    </odxf>
    <ndxf>
      <numFmt numFmtId="165" formatCode="_(* #\ ###\ ##0_);_(* \(#\ ###\ ##0\);_(* &quot;-&quot;_);_(@_)"/>
    </ndxf>
  </rcc>
  <rcc rId="926" sId="13" numFmtId="34">
    <nc r="R3">
      <v>1704589</v>
    </nc>
  </rcc>
  <rcc rId="927" sId="13" numFmtId="34">
    <nc r="R4">
      <v>0</v>
    </nc>
  </rcc>
  <rcc rId="928" sId="13" numFmtId="34">
    <nc r="R5">
      <v>1017259</v>
    </nc>
  </rcc>
  <rcc rId="929" sId="13" numFmtId="34">
    <nc r="R9">
      <v>185724</v>
    </nc>
  </rcc>
  <rcc rId="930" sId="13" numFmtId="34">
    <nc r="R13">
      <v>1757940</v>
    </nc>
  </rcc>
  <rcc rId="931" sId="13" numFmtId="34">
    <nc r="R14">
      <v>32169</v>
    </nc>
  </rcc>
  <rcc rId="932" sId="13" numFmtId="34">
    <nc r="R19">
      <v>1064</v>
    </nc>
  </rcc>
  <rcc rId="933" sId="13" numFmtId="34">
    <nc r="R20">
      <v>31570</v>
    </nc>
  </rcc>
  <rfmt sheetId="13" sqref="Q22:R22" start="0" length="2147483647">
    <dxf>
      <font>
        <color theme="0"/>
      </font>
    </dxf>
  </rfmt>
  <rcc rId="934" sId="13" numFmtId="34">
    <nc r="R28">
      <v>1797322</v>
    </nc>
  </rcc>
  <rcc rId="935" sId="13" numFmtId="34">
    <nc r="R29">
      <v>0</v>
    </nc>
  </rcc>
  <rcc rId="936" sId="13" numFmtId="34">
    <nc r="R30">
      <v>957604</v>
    </nc>
  </rcc>
  <rcc rId="937" sId="13" numFmtId="34">
    <nc r="R31">
      <v>114331</v>
    </nc>
  </rcc>
  <rcc rId="938" sId="13" numFmtId="34">
    <nc r="R36">
      <v>407133</v>
    </nc>
  </rcc>
  <rcc rId="939" sId="13" numFmtId="34">
    <nc r="R37">
      <v>1292157</v>
    </nc>
  </rcc>
  <rfmt sheetId="13" sqref="Q39:R39" start="0" length="2147483647">
    <dxf>
      <font>
        <color theme="0"/>
      </font>
    </dxf>
  </rfmt>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0" sId="13" numFmtId="34">
    <nc r="R11">
      <v>0</v>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1" sqref="Q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4" s="1" sqref="Q2"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4" s="1" sqref="Q3"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4"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5"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6"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7"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8"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9"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0"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1"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2"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3"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4"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5"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cc rId="941" sId="4" odxf="1" s="1" dxf="1">
    <nc r="Q16">
      <f>SUM(Q3:Q7,Q9:Q15)</f>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EC0000"/>
        <name val="Open Sans"/>
        <scheme val="none"/>
      </font>
      <numFmt numFmtId="165" formatCode="_(* #\ ###\ ##0_);_(* \(#\ ###\ ##0\);_(* &quot;-&quot;_);_(@_)"/>
      <alignment horizontal="right" readingOrder="0"/>
      <border outline="0">
        <top style="thin">
          <color rgb="FFEC0000"/>
        </top>
        <bottom style="thin">
          <color rgb="FFEC0000"/>
        </bottom>
      </border>
    </ndxf>
  </rcc>
  <rfmt sheetId="4" s="1" sqref="Q17" start="0" length="0">
    <dxf>
      <font>
        <sz val="9"/>
        <color rgb="FFCC0000"/>
        <name val="Open Sans"/>
        <scheme val="none"/>
      </font>
      <numFmt numFmtId="4" formatCode="#,##0.00"/>
      <alignment horizontal="right" vertical="center" wrapText="1" readingOrder="0"/>
      <border outline="0">
        <top style="thin">
          <color indexed="9"/>
        </top>
        <bottom style="medium">
          <color rgb="FFCC0000"/>
        </bottom>
      </border>
    </dxf>
  </rfmt>
  <rfmt sheetId="4" s="1" sqref="Q18"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19"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0"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1"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2"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3"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4"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5"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6"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7"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8"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29"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fmt sheetId="4" s="1" sqref="Q30" start="0" length="0">
    <dxf>
      <font>
        <sz val="9"/>
        <color auto="1"/>
        <name val="Open Sans"/>
        <scheme val="none"/>
      </font>
      <numFmt numFmtId="165" formatCode="_(* #\ ###\ ##0_);_(* \(#\ ###\ ##0\);_(* &quot;-&quot;_);_(@_)"/>
      <alignment horizontal="right" indent="1" readingOrder="0"/>
      <border outline="0">
        <top style="dotted">
          <color rgb="FF6F7779"/>
        </top>
        <bottom style="dotted">
          <color rgb="FF6F7779"/>
        </bottom>
      </border>
    </dxf>
  </rfmt>
  <rcc rId="942" sId="4" odxf="1" s="1" dxf="1">
    <nc r="Q31">
      <f>SUM(Q18:Q21,Q23:Q30)</f>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EC0000"/>
        <name val="Open Sans"/>
        <scheme val="none"/>
      </font>
      <numFmt numFmtId="165" formatCode="_(* #\ ###\ ##0_);_(* \(#\ ###\ ##0\);_(* &quot;-&quot;_);_(@_)"/>
      <alignment horizontal="right" readingOrder="0"/>
      <border outline="0">
        <top style="thin">
          <color rgb="FFEC0000"/>
        </top>
        <bottom style="thin">
          <color rgb="FFEC0000"/>
        </bottom>
      </border>
    </ndxf>
  </rcc>
  <rcc rId="943" sId="4" odxf="1" s="1" dxf="1">
    <nc r="Q33">
      <f>SUM(Q16,Q31)</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EC0000"/>
        <name val="Open Sans"/>
        <scheme val="none"/>
      </font>
      <numFmt numFmtId="165" formatCode="_(* #\ ###\ ##0_);_(* \(#\ ###\ ##0\);_(* &quot;-&quot;_);_(@_)"/>
      <alignment horizontal="right" readingOrder="0"/>
      <border outline="0">
        <top style="thin">
          <color rgb="FFEC0000"/>
        </top>
        <bottom style="thin">
          <color rgb="FFEC0000"/>
        </bottom>
      </border>
    </ndxf>
  </rcc>
  <rfmt sheetId="4" sqref="Q34" start="0" length="0">
    <dxf>
      <font>
        <sz val="9"/>
        <color theme="0"/>
        <name val="Open Sans"/>
        <scheme val="none"/>
      </font>
    </dxf>
  </rfmt>
  <rfmt sheetId="4" s="1" sqref="Q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cc rId="944" sId="4" odxf="1" s="1" dxf="1">
    <nc r="Q36">
      <f>Q2</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CC0000"/>
        <name val="Open Sans"/>
        <scheme val="none"/>
      </font>
      <numFmt numFmtId="19" formatCode="dd/mm/yyyy"/>
      <alignment horizontal="right" vertical="center" wrapText="1" readingOrder="0"/>
      <border outline="0">
        <top style="thin">
          <color indexed="9"/>
        </top>
        <bottom style="medium">
          <color rgb="FFCC0000"/>
        </bottom>
      </border>
    </ndxf>
  </rcc>
  <rcc rId="945" sId="4" odxf="1" s="1" dxf="1">
    <nc r="Q37">
      <f>Q3+Q18</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46" sId="4" odxf="1" s="1" dxf="1">
    <nc r="Q38">
      <f>Q4+Q19</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47" sId="4" odxf="1" s="1" dxf="1">
    <nc r="Q39">
      <f>Q5+Q20</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48" sId="4" odxf="1" s="1" dxf="1">
    <nc r="Q40">
      <f>Q6</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49" sId="4" odxf="1" s="1" dxf="1">
    <nc r="Q41">
      <f>Q7+Q21</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0" sId="4" odxf="1" s="1" dxf="1">
    <nc r="Q42">
      <f>Q8+Q22</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1" sId="4" odxf="1" s="1" dxf="1">
    <nc r="Q43">
      <f>Q9+Q23</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2" sId="4" odxf="1" s="1" dxf="1">
    <nc r="Q44">
      <f>Q10+Q27</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3" sId="4" odxf="1" s="1" dxf="1">
    <nc r="Q45">
      <f>Q11+Q25</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4" sId="4" odxf="1" s="1" dxf="1">
    <nc r="Q46">
      <f>Q12+Q26</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5" sId="4" odxf="1" s="1" dxf="1">
    <nc r="Q47">
      <f>Q13+Q24</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6" sId="4" odxf="1" s="1" dxf="1">
    <nc r="Q48">
      <f>Q14+Q28</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7" sId="4" odxf="1" s="1" dxf="1">
    <nc r="Q49">
      <f>Q15</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8" sId="4" odxf="1" s="1" dxf="1">
    <nc r="Q50">
      <f>Q30+Q29</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5" formatCode="_(* #\ ###\ ##0_);_(* \(#\ ###\ ##0\);_(* &quot;-&quot;_);_(@_)"/>
      <alignment horizontal="right" indent="1" readingOrder="0"/>
      <border outline="0">
        <top style="dotted">
          <color rgb="FF6F7779"/>
        </top>
        <bottom style="dotted">
          <color rgb="FF6F7779"/>
        </bottom>
      </border>
    </ndxf>
  </rcc>
  <rcc rId="959" sId="4" odxf="1" s="1" dxf="1">
    <nc r="Q51">
      <f>SUM(Q37:Q41,Q43:Q50)</f>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EC0000"/>
        <name val="Open Sans"/>
        <scheme val="none"/>
      </font>
      <numFmt numFmtId="165" formatCode="_(* #\ ###\ ##0_);_(* \(#\ ###\ ##0\);_(* &quot;-&quot;_);_(@_)"/>
      <alignment horizontal="right" readingOrder="0"/>
      <border outline="0">
        <top style="thin">
          <color rgb="FFEC0000"/>
        </top>
        <bottom style="thin">
          <color rgb="FFEC0000"/>
        </bottom>
      </border>
    </ndxf>
  </rcc>
  <rcc rId="960" sId="4" odxf="1" s="1" dxf="1">
    <nc r="Q54">
      <f>Q36</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ndxf>
  </rcc>
  <rfmt sheetId="4" s="1" sqref="Q55" start="0" length="0">
    <dxf>
      <numFmt numFmtId="165" formatCode="_(* #\ ###\ ##0_);_(* \(#\ ###\ ##0\);_(* &quot;-&quot;_);_(@_)"/>
      <alignment horizontal="right" indent="1" readingOrder="0"/>
      <border outline="0">
        <top style="dotted">
          <color rgb="FF6F7779"/>
        </top>
        <bottom style="dotted">
          <color rgb="FF6F7779"/>
        </bottom>
      </border>
    </dxf>
  </rfmt>
  <rcc rId="961" sId="4" odxf="1" s="1" dxf="1">
    <nc r="Q56">
      <f>Q45/1000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bottom style="dotted">
          <color rgb="FF6F7779"/>
        </bottom>
      </border>
    </ndxf>
  </rcc>
  <rcc rId="962" sId="4" odxf="1" s="1" dxf="1">
    <nc r="Q57">
      <f>Q44/1000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3" sId="4" odxf="1" s="1" dxf="1">
    <nc r="Q58">
      <f>Q47/1000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4" sId="4" odxf="1" s="1" dxf="1">
    <nc r="Q59">
      <f>Q39/1000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5" sId="4" odxf="1" s="1" dxf="1">
    <nc r="Q60">
      <f>Q37/1000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6" sId="4" odxf="1" s="1" dxf="1">
    <nc r="Q61">
      <f>Q40/1000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7" sId="4" odxf="1" s="1" dxf="1">
    <nc r="Q62">
      <f>Q41/1000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8" sId="4" odxf="1" s="1" dxf="1">
    <nc r="Q63">
      <f>(Q38+Q48)/1000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69" sId="4" odxf="1" s="1" dxf="1">
    <nc r="Q64">
      <f>Q46/1000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70" sId="4" odxf="1" s="1" dxf="1">
    <nc r="Q65">
      <f>(Q50+Q43+Q49)/1000</f>
    </nc>
    <odxf>
      <font>
        <b val="0"/>
        <i val="0"/>
        <strike val="0"/>
        <condense val="0"/>
        <extend val="0"/>
        <outline val="0"/>
        <shadow val="0"/>
        <u val="none"/>
        <vertAlign val="baseline"/>
        <sz val="9"/>
        <color auto="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165" formatCode="_(* #\ ###\ ##0_);_(* \(#\ ###\ ##0\);_(* &quot;-&quot;_);_(@_)"/>
      <alignment horizontal="right" indent="1" readingOrder="0"/>
      <border outline="0">
        <top style="dotted">
          <color rgb="FF6F7779"/>
        </top>
        <bottom style="dotted">
          <color rgb="FF6F7779"/>
        </bottom>
      </border>
    </ndxf>
  </rcc>
  <rcc rId="971" sId="4" odxf="1" s="1" dxf="1">
    <nc r="Q66">
      <f>SUM(Q56:Q65)</f>
    </nc>
    <odxf>
      <font>
        <b val="0"/>
        <i val="0"/>
        <strike val="0"/>
        <condense val="0"/>
        <extend val="0"/>
        <outline val="0"/>
        <shadow val="0"/>
        <u val="none"/>
        <vertAlign val="baseline"/>
        <sz val="9"/>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EC0000"/>
        <name val="Open Sans"/>
        <scheme val="none"/>
      </font>
      <numFmt numFmtId="165" formatCode="_(* #\ ###\ ##0_);_(* \(#\ ###\ ##0\);_(* &quot;-&quot;_);_(@_)"/>
      <alignment horizontal="right" readingOrder="0"/>
      <border outline="0">
        <top style="thin">
          <color rgb="FFEC0000"/>
        </top>
        <bottom style="thin">
          <color rgb="FFEC0000"/>
        </bottom>
      </border>
    </ndxf>
  </rcc>
  <rcc rId="972" sId="4">
    <nc r="Q2" t="inlineStr">
      <is>
        <t>III Q 2020</t>
      </is>
    </nc>
  </rcc>
  <rcc rId="973" sId="4" numFmtId="34">
    <nc r="Q3">
      <v>78479</v>
    </nc>
  </rcc>
  <rfmt sheetId="4" sqref="Q8">
    <dxf>
      <fill>
        <patternFill patternType="solid">
          <bgColor rgb="FFFFFF00"/>
        </patternFill>
      </fill>
    </dxf>
  </rfmt>
  <rcc rId="974" sId="4">
    <nc r="Q8">
      <f>R8-P8-O8</f>
    </nc>
  </rcc>
  <rcc rId="975" sId="4">
    <nc r="Q18">
      <f>R18-P18-O18</f>
    </nc>
  </rcc>
  <rcc rId="976" sId="4">
    <nc r="Q20">
      <f>R20-P20-O20</f>
    </nc>
  </rcc>
  <rcc rId="977" sId="4">
    <nc r="Q22">
      <f>R22-P22-O22</f>
    </nc>
  </rcc>
  <rcc rId="978" sId="4">
    <nc r="Q29">
      <f>R29-P29-O29</f>
    </nc>
  </rcc>
  <rcc rId="979" sId="4">
    <nc r="Q30">
      <f>R30+R31-P30-O30</f>
    </nc>
  </rcc>
  <rfmt sheetId="4" sqref="Q6:Q11">
    <dxf>
      <fill>
        <patternFill patternType="none">
          <bgColor auto="1"/>
        </patternFill>
      </fill>
    </dxf>
  </rfmt>
  <rcc rId="980" sId="4" numFmtId="34">
    <oc r="Q18">
      <f>R18-P18-O18</f>
    </oc>
    <nc r="Q18">
      <v>-1042</v>
    </nc>
  </rcc>
  <rcc rId="981" sId="4" numFmtId="34">
    <nc r="Q19">
      <v>-8599</v>
    </nc>
  </rcc>
  <rcc rId="982" sId="4" numFmtId="34">
    <oc r="Q20">
      <f>R20-P20-O20</f>
    </oc>
    <nc r="Q20">
      <v>-15759</v>
    </nc>
  </rcc>
  <rcc rId="983" sId="4" numFmtId="34">
    <nc r="Q21">
      <v>-48599</v>
    </nc>
  </rcc>
  <rcc rId="984" sId="4" numFmtId="34">
    <oc r="Q22">
      <f>R22-P22-O22</f>
    </oc>
    <nc r="Q22">
      <v>-34942</v>
    </nc>
  </rcc>
  <rcc rId="985" sId="4" numFmtId="34">
    <nc r="Q23">
      <v>-6302</v>
    </nc>
  </rcc>
  <rcc rId="986" sId="4" numFmtId="34">
    <nc r="Q24">
      <v>-4043</v>
    </nc>
  </rcc>
  <rcc rId="987" sId="4" numFmtId="34">
    <nc r="Q25">
      <v>-5055</v>
    </nc>
  </rcc>
  <rcc rId="988" sId="4" numFmtId="34">
    <nc r="Q26">
      <v>-4233</v>
    </nc>
  </rcc>
  <rcc rId="989" sId="4" numFmtId="34">
    <nc r="Q27">
      <v>-3445</v>
    </nc>
  </rcc>
  <rcc rId="990" sId="4" numFmtId="34">
    <nc r="Q28">
      <v>-6759</v>
    </nc>
  </rcc>
  <rcc rId="991" sId="4" numFmtId="34">
    <oc r="Q29">
      <f>R29-P29-O29</f>
    </oc>
    <nc r="Q29">
      <v>-2628</v>
    </nc>
  </rcc>
  <rcc rId="992" sId="4" numFmtId="34">
    <oc r="Q30">
      <f>R30+R31-P30-O30</f>
    </oc>
    <nc r="Q30">
      <v>-9559</v>
    </nc>
  </rcc>
  <rcc rId="993" sId="4" numFmtId="34">
    <nc r="Q4">
      <v>109844</v>
    </nc>
  </rcc>
  <rcc rId="994" sId="4" numFmtId="34">
    <nc r="Q5">
      <v>23531</v>
    </nc>
  </rcc>
  <rcc rId="995" sId="4" numFmtId="34">
    <nc r="Q6">
      <v>116339</v>
    </nc>
  </rcc>
  <rcc rId="996" sId="4" numFmtId="34">
    <nc r="Q7">
      <v>148471</v>
    </nc>
  </rcc>
  <rcc rId="997" sId="4" numFmtId="34">
    <oc r="Q8">
      <f>R8-P8-O8</f>
    </oc>
    <nc r="Q8">
      <v>91268</v>
    </nc>
  </rcc>
  <rcc rId="998" sId="4" numFmtId="34">
    <nc r="Q9">
      <v>36757</v>
    </nc>
  </rcc>
  <rcc rId="999" sId="4" numFmtId="34">
    <nc r="Q10">
      <v>4395</v>
    </nc>
  </rcc>
  <rcc rId="1000" sId="4" numFmtId="34">
    <nc r="Q11">
      <v>60320</v>
    </nc>
  </rcc>
  <rcc rId="1001" sId="4" numFmtId="34">
    <nc r="Q12">
      <v>57028</v>
    </nc>
  </rcc>
  <rcc rId="1002" sId="4" numFmtId="34">
    <nc r="Q13">
      <v>27202</v>
    </nc>
  </rcc>
  <rcc rId="1003" sId="4" numFmtId="34">
    <nc r="Q14">
      <v>5750</v>
    </nc>
  </rcc>
  <rcc rId="1004" sId="4" numFmtId="34">
    <nc r="Q15">
      <v>638</v>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 sId="2" numFmtId="34">
    <oc r="S44">
      <v>21296995</v>
    </oc>
    <nc r="S44">
      <v>21296994</v>
    </nc>
  </rcc>
  <rcc rId="1006" sId="2" numFmtId="34">
    <oc r="S39">
      <v>2720497</v>
    </oc>
    <nc r="S39">
      <v>2720500</v>
    </nc>
  </rcc>
  <rcc rId="1007" sId="2" numFmtId="34">
    <oc r="S46">
      <v>1799406</v>
    </oc>
    <nc r="S46">
      <v>1799404</v>
    </nc>
  </rcc>
  <rfmt sheetId="2" sqref="S52" start="0" length="2147483647">
    <dxf>
      <font>
        <color theme="0"/>
      </font>
    </dxf>
  </rfmt>
  <rfmt sheetId="2" sqref="S52" start="0" length="2147483647">
    <dxf>
      <font>
        <color auto="1"/>
      </font>
    </dxf>
  </rfmt>
  <rcc rId="1008" sId="2">
    <oc r="S52">
      <f>S27-S50</f>
    </oc>
    <nc r="S52"/>
  </rcc>
  <rfmt sheetId="2" sqref="S53" start="0" length="0">
    <dxf>
      <font>
        <i val="0"/>
        <sz val="9"/>
        <color auto="1"/>
        <name val="Open Sans"/>
        <scheme val="none"/>
      </font>
      <numFmt numFmtId="0" formatCode="General"/>
    </dxf>
  </rfmt>
  <rfmt sheetId="2" sqref="S54" start="0" length="0">
    <dxf>
      <font>
        <i val="0"/>
        <sz val="9"/>
        <color auto="1"/>
        <name val="Open Sans"/>
        <scheme val="none"/>
      </font>
      <numFmt numFmtId="0" formatCode="General"/>
    </dxf>
  </rfmt>
  <rfmt sheetId="2" sqref="S55" start="0" length="0">
    <dxf>
      <font>
        <sz val="9"/>
        <color auto="1"/>
        <name val="Open Sans"/>
        <scheme val="none"/>
      </font>
    </dxf>
  </rfmt>
  <rfmt sheetId="2" s="1" sqref="S56" start="0" length="0">
    <dxf>
      <font>
        <sz val="9"/>
        <color theme="1"/>
        <name val="Open Sans"/>
        <scheme val="none"/>
      </font>
      <numFmt numFmtId="0" formatCode="General"/>
      <alignment horizontal="general" indent="0" readingOrder="0"/>
      <border outline="0">
        <left/>
        <right/>
        <top/>
        <bottom/>
      </border>
    </dxf>
  </rfmt>
  <rfmt sheetId="2" s="1" sqref="S57" start="0" length="0">
    <dxf>
      <font>
        <sz val="9"/>
        <color theme="1"/>
        <name val="Open Sans"/>
        <scheme val="none"/>
      </font>
      <numFmt numFmtId="0" formatCode="General"/>
      <alignment horizontal="general" indent="0" readingOrder="0"/>
      <border outline="0">
        <left/>
        <right/>
        <top/>
        <bottom/>
      </border>
    </dxf>
  </rfmt>
  <rfmt sheetId="2" s="1" sqref="S58" start="0" length="0">
    <dxf>
      <font>
        <sz val="9"/>
        <color theme="1"/>
        <name val="Open Sans"/>
        <scheme val="none"/>
      </font>
      <numFmt numFmtId="0" formatCode="General"/>
      <alignment horizontal="general" indent="0" readingOrder="0"/>
      <border outline="0">
        <left/>
        <right/>
        <top/>
        <bottom/>
      </border>
    </dxf>
  </rfmt>
  <rfmt sheetId="2" s="1" sqref="S59" start="0" length="0">
    <dxf>
      <font>
        <sz val="9"/>
        <color theme="1"/>
        <name val="Open Sans"/>
        <scheme val="none"/>
      </font>
      <numFmt numFmtId="0" formatCode="General"/>
      <alignment horizontal="general" indent="0" readingOrder="0"/>
      <border outline="0">
        <left/>
        <right/>
        <top/>
        <bottom/>
      </border>
    </dxf>
  </rfmt>
  <rfmt sheetId="2" sqref="S60" start="0" length="0">
    <dxf>
      <font>
        <sz val="9"/>
        <color auto="1"/>
        <name val="Open Sans"/>
        <scheme val="none"/>
      </font>
    </dxf>
  </rfmt>
  <rfmt sheetId="2" sqref="S61" start="0" length="0">
    <dxf>
      <font>
        <sz val="9"/>
        <color auto="1"/>
        <name val="Open Sans"/>
        <scheme val="none"/>
      </font>
    </dxf>
  </rfmt>
  <rfmt sheetId="2" sqref="S62" start="0" length="0">
    <dxf>
      <font>
        <sz val="9"/>
        <color auto="1"/>
        <name val="Open Sans"/>
        <scheme val="none"/>
      </font>
      <numFmt numFmtId="0" formatCode="General"/>
    </dxf>
  </rfmt>
  <rfmt sheetId="2" s="1" sqref="S63" start="0" length="0">
    <dxf>
      <font>
        <sz val="9"/>
        <color theme="1"/>
        <name val="Open Sans"/>
        <scheme val="none"/>
      </font>
      <numFmt numFmtId="0" formatCode="General"/>
      <alignment horizontal="general" indent="0" readingOrder="0"/>
      <border outline="0">
        <left/>
        <right/>
        <top/>
        <bottom/>
      </border>
    </dxf>
  </rfmt>
  <rfmt sheetId="2" s="1" sqref="S64" start="0" length="0">
    <dxf>
      <font>
        <sz val="9"/>
        <color theme="1"/>
        <name val="Open Sans"/>
        <scheme val="none"/>
      </font>
      <numFmt numFmtId="0" formatCode="General"/>
      <alignment horizontal="general" indent="0" readingOrder="0"/>
      <border outline="0">
        <left/>
        <right/>
        <top/>
        <bottom/>
      </border>
    </dxf>
  </rfmt>
  <rfmt sheetId="2" s="1" sqref="S65" start="0" length="0">
    <dxf>
      <font>
        <sz val="9"/>
        <color theme="1"/>
        <name val="Open Sans"/>
        <scheme val="none"/>
      </font>
      <numFmt numFmtId="0" formatCode="General"/>
      <alignment horizontal="general" indent="0" readingOrder="0"/>
      <border outline="0">
        <left/>
        <right/>
        <top/>
        <bottom/>
      </border>
    </dxf>
  </rfmt>
  <rfmt sheetId="2" s="1" sqref="S66" start="0" length="0">
    <dxf>
      <font>
        <sz val="9"/>
        <color theme="1"/>
        <name val="Open Sans"/>
        <scheme val="none"/>
      </font>
      <numFmt numFmtId="0" formatCode="General"/>
      <alignment horizontal="general" indent="0" readingOrder="0"/>
      <border outline="0">
        <left/>
        <right/>
        <top/>
        <bottom/>
      </border>
    </dxf>
  </rfmt>
  <rfmt sheetId="2" sqref="S67" start="0" length="0">
    <dxf>
      <font>
        <sz val="9"/>
        <color auto="1"/>
        <name val="Open Sans"/>
        <scheme val="none"/>
      </font>
    </dxf>
  </rfmt>
  <rfmt sheetId="2" s="1" sqref="S68" start="0" length="0">
    <dxf>
      <font>
        <sz val="9"/>
        <color theme="1"/>
        <name val="Open Sans"/>
        <scheme val="none"/>
      </font>
      <numFmt numFmtId="0" formatCode="General"/>
      <alignment horizontal="general" indent="0" readingOrder="0"/>
      <border outline="0">
        <left/>
        <right/>
        <top/>
        <bottom/>
      </border>
    </dxf>
  </rfmt>
  <rfmt sheetId="2" s="1" sqref="S69" start="0" length="0">
    <dxf>
      <font>
        <sz val="9"/>
        <color theme="1"/>
        <name val="Open Sans"/>
        <scheme val="none"/>
      </font>
      <numFmt numFmtId="0" formatCode="General"/>
      <alignment horizontal="general" indent="0" readingOrder="0"/>
      <border outline="0">
        <left/>
        <right/>
        <top/>
        <bottom/>
      </border>
    </dxf>
  </rfmt>
  <rfmt sheetId="2" s="1" sqref="S70" start="0" length="0">
    <dxf>
      <font>
        <sz val="9"/>
        <color theme="1"/>
        <name val="Open Sans"/>
        <scheme val="none"/>
      </font>
      <numFmt numFmtId="0" formatCode="General"/>
      <alignment horizontal="general" indent="0" readingOrder="0"/>
    </dxf>
  </rfmt>
  <rfmt sheetId="2" s="1" sqref="S71" start="0" length="0">
    <dxf>
      <font>
        <sz val="9"/>
        <color theme="1"/>
        <name val="Open Sans"/>
        <scheme val="none"/>
      </font>
      <numFmt numFmtId="0" formatCode="General"/>
      <alignment horizontal="general" indent="0" readingOrder="0"/>
    </dxf>
  </rfmt>
  <rfmt sheetId="2" s="1" sqref="S72" start="0" length="0">
    <dxf>
      <font>
        <sz val="9"/>
        <color theme="1"/>
        <name val="Open Sans"/>
        <scheme val="none"/>
      </font>
      <numFmt numFmtId="0" formatCode="General"/>
      <alignment horizontal="general" indent="0" readingOrder="0"/>
    </dxf>
  </rfmt>
  <rfmt sheetId="2" s="1" sqref="S73" start="0" length="0">
    <dxf>
      <font>
        <sz val="9"/>
        <color theme="1"/>
        <name val="Open Sans"/>
        <scheme val="none"/>
      </font>
      <numFmt numFmtId="0" formatCode="General"/>
      <alignment horizontal="general" indent="0" readingOrder="0"/>
    </dxf>
  </rfmt>
  <rfmt sheetId="2" s="1" sqref="S74" start="0" length="0">
    <dxf>
      <font>
        <sz val="9"/>
        <color theme="1"/>
        <name val="Open Sans"/>
        <scheme val="none"/>
      </font>
      <numFmt numFmtId="0" formatCode="General"/>
      <alignment horizontal="general" indent="0" readingOrder="0"/>
    </dxf>
  </rfmt>
  <rfmt sheetId="2" s="1" sqref="S75" start="0" length="0">
    <dxf>
      <font>
        <sz val="9"/>
        <color theme="1"/>
        <name val="Open Sans"/>
        <scheme val="none"/>
      </font>
      <numFmt numFmtId="0" formatCode="General"/>
      <alignment horizontal="general" indent="0" readingOrder="0"/>
    </dxf>
  </rfmt>
  <rfmt sheetId="2" sqref="S76" start="0" length="0">
    <dxf>
      <font>
        <sz val="9"/>
        <color auto="1"/>
        <name val="Open Sans"/>
        <scheme val="none"/>
      </font>
    </dxf>
  </rfmt>
  <rfmt sheetId="2" sqref="S77" start="0" length="0">
    <dxf>
      <font>
        <sz val="9"/>
        <color auto="1"/>
        <name val="Open Sans"/>
        <scheme val="none"/>
      </font>
      <numFmt numFmtId="0" formatCode="General"/>
      <alignment horizontal="general" vertical="bottom" indent="0" readingOrder="0"/>
      <border outline="0">
        <top/>
        <bottom/>
      </border>
    </dxf>
  </rfmt>
  <rfmt sheetId="2" sqref="S78" start="0" length="0">
    <dxf>
      <font>
        <sz val="9"/>
        <color auto="1"/>
        <name val="Open Sans"/>
        <scheme val="none"/>
      </font>
    </dxf>
  </rfmt>
  <rfmt sheetId="2" sqref="S79" start="0" length="0">
    <dxf>
      <font>
        <sz val="9"/>
        <color auto="1"/>
        <name val="Open Sans"/>
        <scheme val="none"/>
      </font>
    </dxf>
  </rfmt>
  <rfmt sheetId="2" sqref="S80" start="0" length="0">
    <dxf>
      <font>
        <sz val="9"/>
        <color auto="1"/>
        <name val="Open Sans"/>
        <scheme val="none"/>
      </font>
    </dxf>
  </rfmt>
  <rfmt sheetId="2" sqref="S81" start="0" length="0">
    <dxf>
      <font>
        <sz val="9"/>
        <color auto="1"/>
        <name val="Open Sans"/>
        <scheme val="none"/>
      </font>
    </dxf>
  </rfmt>
  <rfmt sheetId="2" sqref="S82" start="0" length="0">
    <dxf>
      <font>
        <sz val="9"/>
        <color auto="1"/>
        <name val="Open Sans"/>
        <scheme val="none"/>
      </font>
    </dxf>
  </rfmt>
  <rcc rId="1009" sId="2">
    <oc r="S76">
      <f>SUM('P:\GIELDA\PREZENTACJA\Q3 2020\załączniki\[Quarterly Financial_nowy format_IIIQ2020_roboczy.xlsx]P&amp;L'!$O$29:Q29)-S46</f>
    </oc>
    <nc r="S76"/>
  </rcc>
  <rcv guid="{899D69CD-4B7E-42BC-9944-5BD922EB798C}" action="delete"/>
  <rdn rId="0" localSheetId="2" customView="1" name="Z_899D69CD_4B7E_42BC_9944_5BD922EB798C_.wvu.PrintArea" hidden="1" oldHidden="1">
    <formula>BS!$A$1:$P$50</formula>
    <oldFormula>BS!$A$1:$P$50</oldFormula>
  </rdn>
  <rdn rId="0" localSheetId="4" customView="1" name="Z_899D69CD_4B7E_42BC_9944_5BD922EB798C_.wvu.Cols" hidden="1" oldHidden="1">
    <formula>'Przychody prowizyjne'!$C:$K</formula>
    <oldFormula>'Przychody prowizyjne'!$C:$K</oldFormula>
  </rdn>
  <rdn rId="0" localSheetId="8" customView="1" name="Z_899D69CD_4B7E_42BC_9944_5BD922EB798C_.wvu.Rows" hidden="1" oldHidden="1">
    <formula>'Należności od klientów'!$8:$8</formula>
    <oldFormula>'Należności od klientów'!$8:$8</oldFormula>
  </rdn>
  <rcv guid="{899D69CD-4B7E-42BC-9944-5BD922EB798C}"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1" sqref="Q1" start="0" length="0">
    <dxf>
      <font>
        <sz val="9"/>
        <color rgb="FFCC0000"/>
        <name val="Open Sans"/>
        <scheme val="none"/>
      </font>
      <border outline="0">
        <bottom style="thick">
          <color rgb="FFC00000"/>
        </bottom>
      </border>
    </dxf>
  </rfmt>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Q1" start="0" length="0">
    <dxf>
      <font>
        <sz val="8"/>
        <color rgb="FFC00000"/>
        <name val="Open Sans"/>
        <scheme val="none"/>
      </font>
    </dxf>
  </rfmt>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 sId="1" odxf="1" s="1" dxf="1">
    <nc r="Q1" t="inlineStr">
      <is>
        <t>3Q 2020</t>
      </is>
    </nc>
    <odxf>
      <font>
        <b val="0"/>
        <i val="0"/>
        <strike val="0"/>
        <condense val="0"/>
        <extend val="0"/>
        <outline val="0"/>
        <shadow val="0"/>
        <u val="none"/>
        <vertAlign val="baseline"/>
        <sz val="9"/>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ndxf>
  </rcc>
  <rcc rId="666" sId="1" odxf="1" s="1" dxf="1" numFmtId="34">
    <oc r="Q2">
      <v>8461836</v>
    </oc>
    <nc r="Q2">
      <f>Q3+Q4+Q5</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bottom style="dotted">
          <color rgb="FF6F7779"/>
        </bottom>
      </border>
    </ndxf>
  </rcc>
  <rcc rId="667" sId="1" odxf="1" s="1" dxf="1" numFmtId="34">
    <oc r="Q3">
      <v>7467538</v>
    </oc>
    <nc r="Q3">
      <v>1323301</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68" sId="1" odxf="1" s="1" dxf="1" numFmtId="34">
    <oc r="Q4">
      <v>833824</v>
    </oc>
    <nc r="Q4">
      <v>219908</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69" sId="1" odxf="1" s="1" dxf="1" numFmtId="34">
    <oc r="Q5">
      <v>160474</v>
    </oc>
    <nc r="Q5">
      <v>5633</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0" sId="1" odxf="1" s="1" dxf="1" numFmtId="34">
    <oc r="Q6">
      <v>-1881667</v>
    </oc>
    <nc r="Q6">
      <v>-166160</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1" sId="1" odxf="1" s="1" dxf="1" numFmtId="34">
    <oc r="Q7">
      <v>6580169</v>
    </oc>
    <nc r="Q7">
      <f>Q2+Q6</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2" sId="1" odxf="1" s="1" dxf="1" numFmtId="34">
    <oc r="Q8">
      <v>2648049</v>
    </oc>
    <nc r="Q8">
      <v>668754</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3" sId="1" odxf="1" s="1" dxf="1" numFmtId="34">
    <oc r="Q9">
      <v>-519877</v>
    </oc>
    <nc r="Q9">
      <v>-116024</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4" sId="1" odxf="1" s="1" dxf="1" numFmtId="34">
    <oc r="Q10">
      <v>2128172</v>
    </oc>
    <nc r="Q10">
      <f>Q8+Q9</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5" sId="1" odxf="1" s="1" dxf="1" numFmtId="34">
    <oc r="Q11">
      <v>99221</v>
    </oc>
    <nc r="Q11">
      <v>1825</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fmt sheetId="1" s="1" sqref="Q12" start="0" length="0">
    <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dxf>
  </rfmt>
  <rcc rId="676" sId="1" odxf="1" s="1" dxf="1" numFmtId="34">
    <oc r="Q13">
      <v>215549</v>
    </oc>
    <nc r="Q13">
      <v>28321</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7" sId="1" odxf="1" s="1" dxf="1" numFmtId="34">
    <oc r="Q14">
      <v>185475</v>
    </oc>
    <nc r="Q14">
      <v>128102</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78" sId="1" odxf="1" s="1" dxf="1" numFmtId="34">
    <oc r="Q15">
      <v>275916</v>
    </oc>
    <nc r="Q15">
      <v>40773</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fmt sheetId="1" s="1" sqref="Q16" start="0" length="0">
    <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dxf>
  </rfmt>
  <rcc rId="679" sId="1" odxf="1" s="1" dxf="1" numFmtId="34">
    <oc r="Q17">
      <v>-1219353</v>
    </oc>
    <nc r="Q17">
      <v>-358898</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0" sId="1" odxf="1" s="1" dxf="1" numFmtId="34">
    <oc r="Q18">
      <v>-4488711</v>
    </oc>
    <nc r="Q18">
      <f>Q19+Q20+Q21+Q22</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1" sId="1" odxf="1" s="1" dxf="1" numFmtId="34">
    <oc r="Q19">
      <v>-3426232</v>
    </oc>
    <nc r="Q19">
      <v>-729211</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2" sId="1" odxf="1" s="1" dxf="1" numFmtId="34">
    <oc r="Q20">
      <v>-425224</v>
    </oc>
    <nc r="Q20">
      <v>-98185</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3" sId="1" odxf="1" s="1" dxf="1" numFmtId="34">
    <oc r="Q21">
      <v>-202951</v>
    </oc>
    <nc r="Q21">
      <v>-48048</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4" sId="1" odxf="1" s="1" dxf="1" numFmtId="34">
    <oc r="Q22">
      <v>-434304</v>
    </oc>
    <nc r="Q22">
      <v>-54449</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i/>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5" sId="1" odxf="1" s="1" dxf="1" numFmtId="34">
    <oc r="Q23">
      <v>67192</v>
    </oc>
    <nc r="Q23">
      <v>31620</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6" sId="1" odxf="1" s="1" dxf="1" numFmtId="34">
    <oc r="Q24">
      <v>-599034</v>
    </oc>
    <nc r="Q24">
      <v>-147835</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cc rId="687" sId="1" odxf="1" s="1" dxf="1" numFmtId="34">
    <oc r="Q25">
      <v>3244596</v>
    </oc>
    <nc r="Q25">
      <f>SUM(Q7+Q10+Q11+Q13+Q14+Q15+Q17+Q18+Q12+Q16,Q23,Q24)</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88" sId="1" odxf="1" s="1" dxf="1" numFmtId="34">
    <oc r="Q26">
      <v>-800488</v>
    </oc>
    <nc r="Q26">
      <v>-189459</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cc rId="689" sId="1" odxf="1" s="1" dxf="1" numFmtId="34">
    <oc r="Q27">
      <v>2444108</v>
    </oc>
    <nc r="Q27">
      <f>Q25+Q26</f>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9"/>
        <color auto="1"/>
        <name val="Open Sans"/>
        <scheme val="none"/>
      </font>
      <alignment horizontal="center" vertical="center" readingOrder="0"/>
      <border outline="0">
        <left style="thin">
          <color indexed="9"/>
        </left>
        <right style="thin">
          <color indexed="9"/>
        </right>
        <bottom style="dotted">
          <color rgb="FF6F7779"/>
        </bottom>
      </border>
    </ndxf>
  </rcc>
  <rcc rId="690" sId="1" odxf="1" s="1" dxf="1" numFmtId="34">
    <oc r="Q28">
      <v>0</v>
    </oc>
    <nc r="Q28"/>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bottom style="dotted">
          <color rgb="FF6F7779"/>
        </bottom>
      </border>
    </ndxf>
  </rcc>
  <rcc rId="691" sId="1" odxf="1" s="1" dxf="1" numFmtId="34">
    <oc r="Q29">
      <v>2138347</v>
    </oc>
    <nc r="Q29">
      <v>479834</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alignment horizontal="center" vertical="center" readingOrder="0"/>
      <border outline="0">
        <left style="thin">
          <color indexed="9"/>
        </left>
        <right style="thin">
          <color indexed="9"/>
        </right>
        <top style="dotted">
          <color rgb="FF6F7779"/>
        </top>
        <bottom style="dotted">
          <color rgb="FF6F7779"/>
        </bottom>
      </border>
    </ndxf>
  </rcc>
  <rcc rId="692" sId="1" odxf="1" s="1" dxf="1" numFmtId="34">
    <oc r="Q30">
      <v>305761</v>
    </oc>
    <nc r="Q30">
      <v>60134</v>
    </nc>
    <odxf>
      <font>
        <b val="0"/>
        <i val="0"/>
        <strike val="0"/>
        <condense val="0"/>
        <extend val="0"/>
        <outline val="0"/>
        <shadow val="0"/>
        <u val="none"/>
        <vertAlign val="baseline"/>
        <sz val="9"/>
        <color theme="0"/>
        <name val="Open Sans"/>
        <scheme val="none"/>
      </font>
      <numFmt numFmtId="165" formatCode="_(* #\ ###\ ##0_);_(* \(#\ ###\ ##0\);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9"/>
        <color auto="1"/>
        <name val="Open Sans"/>
        <scheme val="none"/>
      </font>
      <numFmt numFmtId="167" formatCode="_-* #,##0\ _z_ł_-;\-* #,##0\ _z_ł_-;_-* &quot;-&quot;??\ _z_ł_-;_-@_-"/>
      <alignment horizontal="right" vertical="center" indent="1" readingOrder="0"/>
      <border outline="0">
        <left style="thin">
          <color indexed="9"/>
        </left>
        <bottom style="thin">
          <color rgb="FFEC0000"/>
        </bottom>
      </border>
    </ndxf>
  </rcc>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 sId="1" xfDxf="1" s="1" dxf="1" numFmtId="34">
    <oc r="N15">
      <v>-2059088</v>
    </oc>
    <nc r="N15">
      <v>79259</v>
    </nc>
    <ndxf>
      <font>
        <b val="0"/>
        <i val="0"/>
        <strike val="0"/>
        <condense val="0"/>
        <extend val="0"/>
        <outline val="0"/>
        <shadow val="0"/>
        <u val="none"/>
        <vertAlign val="baseline"/>
        <sz val="9"/>
        <color auto="1"/>
        <name val="Open Sans"/>
        <scheme val="none"/>
      </font>
      <numFmt numFmtId="165"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indexed="9"/>
        </left>
        <right style="thin">
          <color indexed="9"/>
        </right>
        <top style="dotted">
          <color rgb="FF6F7779"/>
        </top>
        <bottom style="dotted">
          <color rgb="FF6F7779"/>
        </bottom>
      </border>
      <protection locked="1" hidden="0"/>
    </ndxf>
  </rcc>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2" sId="1">
    <nc r="K32">
      <v>604190</v>
    </nc>
  </rcc>
  <rcc rId="1033" sId="1" odxf="1" dxf="1">
    <nc r="L32">
      <v>876914</v>
    </nc>
    <ndxf>
      <font>
        <sz val="9"/>
        <color theme="0"/>
        <name val="Open Sans"/>
        <scheme val="none"/>
      </font>
    </ndxf>
  </rcc>
  <rcc rId="1034" sId="1" odxf="1" dxf="1">
    <nc r="M32">
      <v>1006936</v>
    </nc>
    <ndxf>
      <font>
        <sz val="9"/>
        <color theme="0"/>
        <name val="Open Sans"/>
        <scheme val="none"/>
      </font>
    </ndxf>
  </rcc>
  <rcc rId="1035" sId="1" odxf="1" dxf="1">
    <nc r="N32">
      <v>756556</v>
    </nc>
    <ndxf>
      <font>
        <sz val="9"/>
        <color theme="0"/>
        <name val="Open Sans"/>
        <scheme val="none"/>
      </font>
    </ndxf>
  </rcc>
  <rcc rId="1036" sId="1" odxf="1" dxf="1">
    <nc r="O32">
      <v>384954</v>
    </nc>
    <ndxf>
      <font>
        <sz val="9"/>
        <color theme="0"/>
        <name val="Open Sans"/>
        <scheme val="none"/>
      </font>
    </ndxf>
  </rcc>
  <rcc rId="1037" sId="1" odxf="1" dxf="1">
    <nc r="P32">
      <v>504920</v>
    </nc>
    <ndxf>
      <font>
        <sz val="9"/>
        <color theme="0"/>
        <name val="Open Sans"/>
        <scheme val="none"/>
      </font>
    </ndxf>
  </rcc>
  <rcc rId="1038" sId="1" odxf="1" dxf="1">
    <nc r="Q32">
      <v>729427</v>
    </nc>
    <ndxf>
      <font>
        <sz val="9"/>
        <color theme="0"/>
        <name val="Open Sans"/>
        <scheme val="none"/>
      </font>
    </ndxf>
  </rcc>
  <rcc rId="1039" sId="1" numFmtId="34">
    <oc r="L25">
      <v>876914</v>
    </oc>
    <nc r="L25">
      <f>L7+L10+L11+L12+L13+L15+L17+L18+L23+L24</f>
    </nc>
  </rcc>
  <rcc rId="1040" sId="1" numFmtId="34">
    <oc r="M25">
      <v>1006936</v>
    </oc>
    <nc r="M25">
      <f>M7+M10+M11+M12+M13+M15+M17+M18+M23+M24</f>
    </nc>
  </rcc>
  <rcc rId="1041" sId="1" numFmtId="34">
    <oc r="O25">
      <v>384954</v>
    </oc>
    <nc r="O25">
      <f>O7+O10+O11+O12+O13+O15+O17+O18+O23+O24</f>
    </nc>
  </rcc>
  <rcc rId="1042" sId="1" numFmtId="34">
    <oc r="P25">
      <v>504920</v>
    </oc>
    <nc r="P25">
      <f>P7+P10+P11+P12+P13+P15+P17+P18+P23+P24</f>
    </nc>
  </rcc>
  <rcc rId="1043" sId="1">
    <oc r="Q25">
      <f>SUM(Q7+Q10+Q11+Q13+Q14+Q15+Q17+Q18+Q12+Q16,Q23,Q24)</f>
    </oc>
    <nc r="Q25">
      <f>Q7+Q10+Q11+Q12+Q13+Q15+Q17+Q18+Q23+Q24</f>
    </nc>
  </rcc>
  <rfmt sheetId="1" sqref="N22">
    <dxf>
      <fill>
        <patternFill patternType="solid">
          <bgColor rgb="FFFFFF00"/>
        </patternFill>
      </fill>
    </dxf>
  </rfmt>
  <rcc rId="1044" sId="1">
    <oc r="N25">
      <v>756556</v>
    </oc>
    <nc r="N25">
      <f>N7+N10+N11+N12+N13+N15+N17+N18+N23+N24</f>
    </nc>
  </rcc>
  <rcc rId="1045" sId="15">
    <oc r="N12">
      <f>SUM(N3:N11)</f>
    </oc>
    <nc r="N12">
      <f>SUM(N3:N11)</f>
    </nc>
  </rcc>
  <rfmt sheetId="1" sqref="K32:Q32">
    <dxf>
      <numFmt numFmtId="4" formatCode="#,##0.00"/>
    </dxf>
  </rfmt>
  <rfmt sheetId="1" sqref="N18">
    <dxf>
      <fill>
        <patternFill patternType="solid">
          <bgColor rgb="FFFFFF00"/>
        </patternFill>
      </fill>
    </dxf>
  </rfmt>
  <rcc rId="1046" sId="1" numFmtId="34">
    <oc r="N18">
      <v>897491</v>
    </oc>
    <nc r="N18">
      <f>N19+N20+N21+N22</f>
    </nc>
  </rcc>
  <rfmt sheetId="1" sqref="N34" start="0" length="0">
    <dxf>
      <numFmt numFmtId="164" formatCode="_-* #,##0.00\ _z_ł_-;\-* #,##0.00\ _z_ł_-;_-* &quot;-&quot;??\ _z_ł_-;_-@_-"/>
    </dxf>
  </rfmt>
  <rfmt sheetId="1" sqref="N35" start="0" length="0">
    <dxf>
      <font>
        <sz val="9"/>
        <color theme="0"/>
        <name val="Open Sans"/>
        <scheme val="none"/>
      </font>
      <numFmt numFmtId="4" formatCode="#,##0.00"/>
    </dxf>
  </rfmt>
  <rfmt sheetId="1" sqref="N34" start="0" length="0">
    <dxf>
      <font>
        <sz val="9"/>
        <color theme="0"/>
        <name val="Open Sans"/>
        <scheme val="none"/>
      </font>
      <numFmt numFmtId="4" formatCode="#,##0.00"/>
    </dxf>
  </rfmt>
  <rcc rId="1047" sId="1">
    <oc r="N22">
      <v>1825281</v>
    </oc>
    <nc r="N22">
      <f>-303639-9427</f>
    </nc>
  </rcc>
  <rfmt sheetId="1" sqref="N15">
    <dxf>
      <fill>
        <patternFill patternType="solid">
          <bgColor rgb="FFFFFF00"/>
        </patternFill>
      </fill>
    </dxf>
  </rfmt>
  <rcv guid="{9AF4A83C-CF57-4B40-8A74-6A0EA6C2FE5C}" action="delete"/>
  <rdn rId="0" localSheetId="1" customView="1" name="Z_9AF4A83C_CF57_4B40_8A74_6A0EA6C2FE5C_.wvu.Cols" hidden="1" oldHidden="1">
    <formula>'P&amp;L'!$C:$J</formula>
  </rdn>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4" sqref="I14" start="0" length="0">
    <dxf>
      <font>
        <sz val="10"/>
        <color rgb="FF0070C0"/>
        <name val="Open Sans"/>
        <scheme val="none"/>
      </font>
    </dxf>
  </rfmt>
  <rfmt sheetId="14" sqref="J14" start="0" length="0">
    <dxf>
      <font>
        <sz val="10"/>
        <color rgb="FF0070C0"/>
        <name val="Open Sans"/>
        <scheme val="none"/>
      </font>
    </dxf>
  </rfmt>
  <rfmt sheetId="14" sqref="K14" start="0" length="0">
    <dxf>
      <font>
        <sz val="10"/>
        <color rgb="FF0070C0"/>
        <name val="Open Sans"/>
        <scheme val="none"/>
      </font>
    </dxf>
  </rfmt>
  <rfmt sheetId="14" sqref="L14" start="0" length="0">
    <dxf>
      <font>
        <sz val="10"/>
        <color rgb="FF0070C0"/>
        <name val="Open Sans"/>
        <scheme val="none"/>
      </font>
    </dxf>
  </rfmt>
  <rcc rId="1055" sId="1" numFmtId="34">
    <oc r="N15">
      <v>79259</v>
    </oc>
    <nc r="N15">
      <f>79259-9427</f>
    </nc>
  </rcc>
  <rcc rId="1056" sId="14" numFmtId="34">
    <oc r="K12">
      <v>13108</v>
    </oc>
    <nc r="K12">
      <v>13109</v>
    </nc>
  </rcc>
  <rcc rId="1057" sId="14" numFmtId="34">
    <oc r="L12">
      <v>14665</v>
    </oc>
    <nc r="L12">
      <v>14664</v>
    </nc>
  </rcc>
  <rcc rId="1058" sId="14" numFmtId="34">
    <oc r="M12">
      <v>11242</v>
    </oc>
    <nc r="M12">
      <v>11241</v>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9" sId="15">
    <nc r="P13">
      <f>'P&amp;L'!P22</f>
    </nc>
  </rcc>
  <rcc rId="1060" sId="15">
    <nc r="K13">
      <f>'P&amp;L'!K22</f>
    </nc>
  </rcc>
  <rcc rId="1061" sId="15">
    <nc r="L13">
      <f>'P&amp;L'!L22</f>
    </nc>
  </rcc>
  <rcc rId="1062" sId="15">
    <nc r="M13">
      <f>'P&amp;L'!M22</f>
    </nc>
  </rcc>
  <rcc rId="1063" sId="15">
    <nc r="N13">
      <f>'P&amp;L'!N22</f>
    </nc>
  </rcc>
  <rcc rId="1064" sId="15">
    <nc r="O13">
      <f>'P&amp;L'!O22</f>
    </nc>
  </rcc>
  <rcc rId="1065" sId="15">
    <nc r="J13">
      <f>'P&amp;L'!J22</f>
    </nc>
  </rcc>
  <rcc rId="1066" sId="15">
    <nc r="N14">
      <f>N13-N12</f>
    </nc>
  </rcc>
  <rcc rId="1067" sId="1">
    <oc r="N22">
      <f>-303639-9427</f>
    </oc>
    <nc r="N22">
      <f>-303639</f>
    </nc>
  </rcc>
  <rfmt sheetId="1" sqref="N12:N23">
    <dxf>
      <fill>
        <patternFill patternType="none">
          <bgColor auto="1"/>
        </patternFill>
      </fill>
    </dxf>
  </rfmt>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Q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1" sqref="Q3"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4"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5"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6"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7" start="0" length="0">
    <dxf>
      <font>
        <b/>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8"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9"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0"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1"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2"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3" start="0" length="0">
    <dxf>
      <font>
        <b/>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4"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5"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1" sqref="Q16"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cc rId="1068" sId="11" odxf="1" dxf="1">
    <nc r="Q17">
      <f>Q13+Q7+Q3</f>
    </nc>
    <odxf>
      <font>
        <b val="0"/>
        <sz val="11"/>
        <color theme="1"/>
        <name val="Calibri"/>
        <scheme val="minor"/>
      </font>
      <numFmt numFmtId="0" formatCode="General"/>
      <alignment horizontal="general" vertical="bottom" readingOrder="0"/>
      <border outline="0">
        <top/>
        <bottom/>
      </border>
    </odxf>
    <ndxf>
      <font>
        <b/>
        <sz val="8"/>
        <color rgb="FFEC0000"/>
        <name val="Open Sans"/>
        <scheme val="none"/>
      </font>
      <numFmt numFmtId="165" formatCode="_(* #\ ###\ ##0_);_(* \(#\ ###\ ##0\);_(* &quot;-&quot;_);_(@_)"/>
      <alignment horizontal="right" vertical="top" readingOrder="0"/>
      <border outline="0">
        <top style="thin">
          <color rgb="FFEC0000"/>
        </top>
        <bottom style="thin">
          <color rgb="FFEC0000"/>
        </bottom>
      </border>
    </ndxf>
  </rcc>
  <rfmt sheetId="11" sqref="Q19" start="0" length="0">
    <dxf>
      <font>
        <sz val="8"/>
        <color theme="1"/>
        <name val="Open Sans"/>
        <scheme val="none"/>
      </font>
      <numFmt numFmtId="3" formatCode="#,##0"/>
    </dxf>
  </rfmt>
  <rfmt sheetId="11" sqref="Q20" start="0" length="0">
    <dxf>
      <numFmt numFmtId="165" formatCode="_(* #\ ###\ ##0_);_(* \(#\ ###\ ##0\);_(* &quot;-&quot;_);_(@_)"/>
    </dxf>
  </rfmt>
  <rfmt sheetId="11" sqref="Q23" start="0" length="0">
    <dxf>
      <numFmt numFmtId="165" formatCode="_(* #\ ###\ ##0_);_(* \(#\ ###\ ##0\);_(* &quot;-&quot;_);_(@_)"/>
    </dxf>
  </rfmt>
  <rfmt sheetId="11" sqref="Q24" start="0" length="0">
    <dxf>
      <numFmt numFmtId="165" formatCode="_(* #\ ###\ ##0_);_(* \(#\ ###\ ##0\);_(* &quot;-&quot;_);_(@_)"/>
    </dxf>
  </rfmt>
  <rfmt sheetId="11" sqref="Q25" start="0" length="0">
    <dxf>
      <numFmt numFmtId="165" formatCode="_(* #\ ###\ ##0_);_(* \(#\ ###\ ##0\);_(* &quot;-&quot;_);_(@_)"/>
    </dxf>
  </rfmt>
  <rcc rId="1069" sId="11" numFmtId="19">
    <nc r="Q2">
      <v>44104</v>
    </nc>
  </rcc>
  <rcc rId="1070" sId="11" numFmtId="34">
    <nc r="Q4">
      <v>74734896</v>
    </nc>
  </rcc>
  <rcc rId="1071" sId="11" numFmtId="34">
    <nc r="Q5">
      <v>21218059</v>
    </nc>
  </rcc>
  <rcc rId="1072" sId="11" numFmtId="34">
    <nc r="Q6">
      <v>251816</v>
    </nc>
  </rcc>
  <rcc rId="1073" sId="11" numFmtId="34">
    <nc r="Q8">
      <v>49639463</v>
    </nc>
  </rcc>
  <rcc rId="1074" sId="11" numFmtId="34">
    <nc r="Q9">
      <v>11443284</v>
    </nc>
  </rcc>
  <rcc rId="1075" sId="11" numFmtId="34">
    <nc r="Q10">
      <v>3186110</v>
    </nc>
  </rcc>
  <rcc rId="1076" sId="11" numFmtId="34">
    <nc r="Q12">
      <v>1192922</v>
    </nc>
  </rcc>
  <rcc rId="1077" sId="11" numFmtId="34">
    <nc r="Q14">
      <v>4137611</v>
    </nc>
  </rcc>
  <rcc rId="1078" sId="11" numFmtId="34">
    <nc r="Q15">
      <v>1110789</v>
    </nc>
  </rcc>
  <rcc rId="1079" sId="11" numFmtId="34">
    <nc r="Q16">
      <v>47</v>
    </nc>
  </rcc>
  <rcc rId="1080" sId="11" numFmtId="34">
    <nc r="O11">
      <v>0</v>
    </nc>
  </rcc>
  <rcc rId="1081" sId="11" numFmtId="34">
    <nc r="P11">
      <v>0</v>
    </nc>
  </rcc>
  <rcc rId="1082" sId="11" numFmtId="34">
    <nc r="Q11">
      <v>0</v>
    </nc>
  </rcc>
  <rcc rId="1083" sId="11" numFmtId="34">
    <nc r="Q3">
      <f>Q4+Q5+Q6</f>
    </nc>
  </rcc>
  <rcc rId="1084" sId="11" numFmtId="34">
    <nc r="Q7">
      <f>Q8+Q9+Q10+Q12</f>
    </nc>
  </rcc>
  <rcc rId="1085" sId="11" numFmtId="34">
    <nc r="Q13">
      <f>Q14+Q15+Q16</f>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6" sId="14" odxf="1" s="1" dxf="1">
    <nc r="Q2" t="inlineStr">
      <is>
        <t>II Q 2020</t>
      </is>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1087" sId="14" odxf="1" s="1" dxf="1" numFmtId="34">
    <nc r="Q3">
      <v>5449</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88" sId="14" odxf="1" s="1" dxf="1" numFmtId="34">
    <nc r="Q4">
      <v>0</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89" sId="14" odxf="1" s="1" dxf="1" numFmtId="34">
    <nc r="Q5">
      <v>3143</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0" sId="14" odxf="1" s="1" dxf="1" numFmtId="34">
    <nc r="Q6">
      <v>0</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1" sId="14" odxf="1" s="1" dxf="1" numFmtId="34">
    <nc r="Q7">
      <v>727</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2" sId="14" odxf="1" s="1" dxf="1" numFmtId="34">
    <nc r="Q8">
      <v>106</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3" sId="14" odxf="1" s="1" dxf="1" numFmtId="34">
    <nc r="Q9">
      <v>1093</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4" sId="14" odxf="1" s="1" dxf="1" numFmtId="34">
    <nc r="Q10">
      <v>151</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5" sId="14" odxf="1" s="1" dxf="1" numFmtId="34">
    <nc r="Q11">
      <v>3677</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6" sId="14" odxf="1" s="1" dxf="1" numFmtId="34">
    <nc r="Q12">
      <v>11378</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097" sId="14" odxf="1" s="1" dxf="1">
    <nc r="Q13">
      <f>SUM(Q3:Q12)</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vertical="center" wrapText="1" readingOrder="0"/>
      <border outline="0">
        <top style="thin">
          <color rgb="FFEC0000"/>
        </top>
        <bottom style="thin">
          <color rgb="FFEC0000"/>
        </bottom>
      </border>
    </ndxf>
  </rcc>
  <rfmt sheetId="15" s="1" sqref="Q2" start="0" length="0">
    <dxf>
      <font>
        <b/>
        <sz val="8"/>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15" s="1" sqref="Q3"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4"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5"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6"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7"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8"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9"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10"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15" s="1" sqref="Q11" start="0" length="0">
    <dxf>
      <font>
        <sz val="8"/>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1098" sId="15" odxf="1" s="1" dxf="1">
    <nc r="Q12">
      <f>SUM(Q3:Q11)</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vertical="center" readingOrder="0"/>
      <border outline="0">
        <top style="thin">
          <color rgb="FFEC0000"/>
        </top>
        <bottom style="thin">
          <color rgb="FFEC0000"/>
        </bottom>
      </border>
    </ndxf>
  </rcc>
  <rfmt sheetId="15" s="1" sqref="Q13" start="0" length="0">
    <dxf>
      <font>
        <sz val="8"/>
        <color auto="1"/>
        <name val="Open Sans"/>
        <scheme val="none"/>
      </font>
      <numFmt numFmtId="169" formatCode="_-* #,##0_-;\-* #,##0_-;_-* &quot;-&quot;??_-;_-@_-"/>
    </dxf>
  </rfmt>
  <rfmt sheetId="15" sqref="Q14" start="0" length="0">
    <dxf>
      <font>
        <sz val="10"/>
        <color rgb="FFFF0000"/>
        <name val="Open Sans"/>
        <scheme val="none"/>
      </font>
      <numFmt numFmtId="169" formatCode="_-* #,##0_-;\-* #,##0_-;_-* &quot;-&quot;??_-;_-@_-"/>
    </dxf>
  </rfmt>
  <rcc rId="1099" sId="15">
    <nc r="Q13">
      <f>'P&amp;L'!Q22</f>
    </nc>
  </rcc>
  <rcc rId="1100" sId="15" numFmtId="34">
    <nc r="Q3">
      <v>-33361</v>
    </nc>
  </rcc>
  <rcc rId="1101" sId="15" numFmtId="34">
    <nc r="Q4">
      <v>0</v>
    </nc>
  </rcc>
  <rcc rId="1102" sId="15" numFmtId="34">
    <nc r="Q5">
      <v>-3925</v>
    </nc>
  </rcc>
  <rcc rId="1103" sId="15" numFmtId="34">
    <nc r="Q6">
      <v>-786</v>
    </nc>
  </rcc>
  <rcc rId="1104" sId="15" numFmtId="34">
    <nc r="Q7">
      <v>-275</v>
    </nc>
  </rcc>
  <rcc rId="1105" sId="15" numFmtId="34">
    <nc r="Q8">
      <v>-280</v>
    </nc>
  </rcc>
  <rcc rId="1106" sId="15" numFmtId="34">
    <nc r="Q9">
      <v>-682</v>
    </nc>
  </rcc>
  <rcc rId="1107" sId="15" numFmtId="34">
    <nc r="Q10">
      <v>-9</v>
    </nc>
  </rcc>
  <rcc rId="1108" sId="15" numFmtId="34">
    <nc r="Q11">
      <v>-15131</v>
    </nc>
  </rcc>
  <rfmt sheetId="14" s="1" sqref="R2" start="0" length="0">
    <dxf>
      <font>
        <b/>
        <sz val="8"/>
        <color rgb="FFCC0000"/>
        <name val="Open Sans"/>
        <scheme val="none"/>
      </font>
      <numFmt numFmtId="19" formatCode="dd/mm/yyyy"/>
      <alignment horizontal="right" vertical="center" readingOrder="0"/>
      <border outline="0">
        <top style="thin">
          <color indexed="9"/>
        </top>
        <bottom style="medium">
          <color rgb="FFCC0000"/>
        </bottom>
      </border>
    </dxf>
  </rfmt>
  <rfmt sheetId="14" s="1" sqref="R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1109" sId="14" odxf="1" s="1" dxf="1" numFmtId="34">
    <nc r="R4">
      <v>0</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4" s="1" sqref="R5"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1110" sId="14" odxf="1" s="1" dxf="1" numFmtId="34">
    <nc r="R6">
      <v>0</v>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14" s="1" sqref="R7"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4" s="1" sqref="R8"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4" s="1" sqref="R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4" s="1" sqref="R10"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4" s="1" sqref="R11"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14" s="1" sqref="R12"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1111" sId="14" odxf="1" s="1" dxf="1">
    <nc r="R13">
      <f>SUM(R3:R12)</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vertical="center" wrapText="1" readingOrder="0"/>
      <border outline="0">
        <top style="thin">
          <color rgb="FFEC0000"/>
        </top>
        <bottom style="thin">
          <color rgb="FFEC0000"/>
        </bottom>
      </border>
    </ndxf>
  </rcc>
  <rcc rId="1112" sId="15">
    <nc r="Q2" t="inlineStr">
      <is>
        <t>III Q 2020</t>
      </is>
    </nc>
  </rcc>
  <rcc rId="1113" sId="14">
    <nc r="R2" t="inlineStr">
      <is>
        <t>III Q 2020</t>
      </is>
    </nc>
  </rcc>
  <rcc rId="1114" sId="14" numFmtId="34">
    <nc r="R3">
      <v>6631</v>
    </nc>
  </rcc>
  <rcc rId="1115" sId="14" numFmtId="34">
    <nc r="R5">
      <v>3970</v>
    </nc>
  </rcc>
  <rcc rId="1116" sId="14" numFmtId="34">
    <nc r="R7">
      <v>848</v>
    </nc>
  </rcc>
  <rcc rId="1117" sId="14" numFmtId="34">
    <nc r="R8">
      <v>21</v>
    </nc>
  </rcc>
  <rcc rId="1118" sId="14" numFmtId="34">
    <nc r="R9">
      <v>5535</v>
    </nc>
  </rcc>
  <rcc rId="1119" sId="14" numFmtId="34">
    <nc r="R10">
      <v>230</v>
    </nc>
  </rcc>
  <rcc rId="1120" sId="14" numFmtId="34">
    <nc r="R11">
      <v>2225</v>
    </nc>
  </rcc>
  <rcc rId="1121" sId="14" numFmtId="34">
    <nc r="R12">
      <v>21313</v>
    </nc>
  </rcc>
  <rrc rId="1122" sId="14" ref="Q1:Q1048576" action="deleteCol">
    <rfmt sheetId="14" xfDxf="1" sqref="Q1:Q1048576" start="0" length="0">
      <dxf>
        <font>
          <sz val="10"/>
          <name val="Open Sans"/>
          <scheme val="none"/>
        </font>
      </dxf>
    </rfmt>
    <rcc rId="0" sId="14" s="1" dxf="1">
      <nc r="Q2" t="inlineStr">
        <is>
          <t>II Q 2020</t>
        </is>
      </nc>
      <ndxf>
        <font>
          <b/>
          <sz val="8"/>
          <color rgb="FFCC0000"/>
          <name val="Open Sans"/>
          <scheme val="none"/>
        </font>
        <numFmt numFmtId="19" formatCode="dd/mm/yyyy"/>
        <alignment horizontal="right" vertical="center" readingOrder="0"/>
        <border outline="0">
          <top style="thin">
            <color indexed="9"/>
          </top>
          <bottom style="medium">
            <color rgb="FFCC0000"/>
          </bottom>
        </border>
      </ndxf>
    </rcc>
    <rcc rId="0" sId="14" s="1" dxf="1" numFmtId="34">
      <nc r="Q3">
        <v>5449</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4">
        <v>0</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5">
        <v>3143</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6">
        <v>0</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7">
        <v>727</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8">
        <v>106</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9">
        <v>1093</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10">
        <v>151</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11">
        <v>3677</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umFmtId="34">
      <nc r="Q12">
        <v>11378</v>
      </nc>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0" sId="14" s="1" dxf="1">
      <nc r="Q13">
        <f>SUM(Q3:Q12)</f>
      </nc>
      <ndxf>
        <font>
          <b/>
          <sz val="8"/>
          <color rgb="FFEC0000"/>
          <name val="Open Sans"/>
          <scheme val="none"/>
        </font>
        <numFmt numFmtId="165" formatCode="_(* #\ ###\ ##0_);_(* \(#\ ###\ ##0\);_(* &quot;-&quot;_);_(@_)"/>
        <alignment horizontal="right" vertical="center" wrapText="1" readingOrder="0"/>
        <border outline="0">
          <top style="thin">
            <color rgb="FFEC0000"/>
          </top>
          <bottom style="thin">
            <color rgb="FFEC0000"/>
          </bottom>
        </border>
      </ndxf>
    </rcc>
  </rr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H34" start="0" length="0">
    <dxf>
      <numFmt numFmtId="4" formatCode="#,##0.00"/>
    </dxf>
  </rfmt>
  <rfmt sheetId="1" sqref="I34" start="0" length="0">
    <dxf>
      <numFmt numFmtId="4" formatCode="#,##0.00"/>
    </dxf>
  </rfmt>
  <rfmt sheetId="1" sqref="J34" start="0" length="0">
    <dxf>
      <numFmt numFmtId="4" formatCode="#,##0.00"/>
    </dxf>
  </rfmt>
  <rfmt sheetId="1" sqref="K34" start="0" length="0">
    <dxf>
      <numFmt numFmtId="4" formatCode="#,##0.00"/>
    </dxf>
  </rfmt>
  <rfmt sheetId="1" sqref="L34" start="0" length="0">
    <dxf>
      <font>
        <sz val="9"/>
        <color theme="0"/>
        <name val="Open Sans"/>
        <scheme val="none"/>
      </font>
      <numFmt numFmtId="4" formatCode="#,##0.00"/>
    </dxf>
  </rfmt>
  <rfmt sheetId="1" sqref="M34" start="0" length="0">
    <dxf>
      <font>
        <sz val="9"/>
        <color theme="0"/>
        <name val="Open Sans"/>
        <scheme val="none"/>
      </font>
      <numFmt numFmtId="4" formatCode="#,##0.00"/>
    </dxf>
  </rfmt>
  <rfmt sheetId="1" sqref="F34" start="0" length="0">
    <dxf>
      <numFmt numFmtId="4" formatCode="#,##0.00"/>
    </dxf>
  </rfmt>
  <rfmt sheetId="1" sqref="G34" start="0" length="0">
    <dxf>
      <numFmt numFmtId="4" formatCode="#,##0.00"/>
    </dxf>
  </rfmt>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27" sId="15">
    <oc r="J13">
      <f>'P&amp;L'!J22</f>
    </oc>
    <nc r="J13"/>
  </rcc>
  <rcc rId="1128" sId="15">
    <oc r="K13">
      <f>'P&amp;L'!K22</f>
    </oc>
    <nc r="K13"/>
  </rcc>
  <rcc rId="1129" sId="15">
    <oc r="L13">
      <f>'P&amp;L'!L22</f>
    </oc>
    <nc r="L13"/>
  </rcc>
  <rcc rId="1130" sId="15">
    <oc r="M13">
      <f>'P&amp;L'!M22</f>
    </oc>
    <nc r="M13"/>
  </rcc>
  <rcc rId="1131" sId="15">
    <oc r="N13">
      <f>'P&amp;L'!N22</f>
    </oc>
    <nc r="N13"/>
  </rcc>
  <rcc rId="1132" sId="15">
    <oc r="O13">
      <f>'P&amp;L'!O22</f>
    </oc>
    <nc r="O13"/>
  </rcc>
  <rcc rId="1133" sId="15">
    <oc r="P13">
      <f>'P&amp;L'!P22</f>
    </oc>
    <nc r="P13"/>
  </rcc>
  <rcc rId="1134" sId="15">
    <oc r="Q13">
      <f>'P&amp;L'!Q22</f>
    </oc>
    <nc r="Q13"/>
  </rcc>
  <rcc rId="1135" sId="15">
    <oc r="N14">
      <f>N13-N12</f>
    </oc>
    <nc r="N14"/>
  </rcc>
  <rfmt sheetId="6" s="1" sqref="Q2" start="0" length="0">
    <dxf>
      <font>
        <b/>
        <sz val="8"/>
        <color rgb="FFCC0000"/>
        <name val="Open Sans"/>
        <scheme val="none"/>
      </font>
      <alignment horizontal="right" vertical="center" wrapText="0" readingOrder="0"/>
      <border outline="0">
        <top style="thin">
          <color indexed="9"/>
        </top>
        <bottom style="medium">
          <color rgb="FFCC0000"/>
        </bottom>
      </border>
    </dxf>
  </rfmt>
  <rfmt sheetId="6" s="1" sqref="Q3"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6" s="1" sqref="Q4"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1136" sId="6" odxf="1" s="1" dxf="1" numFmtId="34">
    <nc r="Q5">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cc rId="1137" sId="6" odxf="1" s="1" dxf="1" numFmtId="34">
    <nc r="Q6">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ndxf>
  </rcc>
  <rfmt sheetId="6" s="1" sqref="Q7"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6" s="1" sqref="Q8"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fmt sheetId="6" s="1" sqref="Q9" start="0" length="0">
    <dxf>
      <font>
        <sz val="8"/>
        <color auto="1"/>
        <name val="Open Sans"/>
        <scheme val="none"/>
      </font>
      <numFmt numFmtId="165" formatCode="_(* #\ ###\ ##0_);_(* \(#\ ###\ ##0\);_(* &quot;-&quot;_);_(@_)"/>
      <alignment horizontal="right" vertical="center" readingOrder="0"/>
      <border outline="0">
        <top style="dotted">
          <color rgb="FF6F7779"/>
        </top>
        <bottom style="dotted">
          <color rgb="FF6F7779"/>
        </bottom>
      </border>
    </dxf>
  </rfmt>
  <rcc rId="1138" sId="6" odxf="1" s="1" dxf="1">
    <nc r="Q10">
      <f>SUM(Q3:Q9)</f>
    </nc>
    <odxf>
      <font>
        <b val="0"/>
        <i val="0"/>
        <strike val="0"/>
        <condense val="0"/>
        <extend val="0"/>
        <outline val="0"/>
        <shadow val="0"/>
        <u val="none"/>
        <vertAlign val="baseline"/>
        <sz val="10"/>
        <color theme="1"/>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8"/>
        <color rgb="FFEC0000"/>
        <name val="Open Sans"/>
        <scheme val="none"/>
      </font>
      <numFmt numFmtId="165" formatCode="_(* #\ ###\ ##0_);_(* \(#\ ###\ ##0\);_(* &quot;-&quot;_);_(@_)"/>
      <alignment horizontal="right" vertical="center" readingOrder="0"/>
      <border outline="0">
        <top style="thin">
          <color rgb="FFEC0000"/>
        </top>
        <bottom style="thin">
          <color rgb="FFEC0000"/>
        </bottom>
      </border>
    </ndxf>
  </rcc>
  <rcc rId="1139" sId="6">
    <nc r="Q2" t="inlineStr">
      <is>
        <t>III Q 2020</t>
      </is>
    </nc>
  </rcc>
  <rcc rId="1140" sId="6" numFmtId="34">
    <nc r="Q3">
      <v>-7513</v>
    </nc>
  </rcc>
  <rcc rId="1141" sId="6" numFmtId="34">
    <nc r="Q4">
      <v>34900</v>
    </nc>
  </rcc>
  <rcc rId="1142" sId="6" numFmtId="34">
    <nc r="Q7">
      <v>-1696</v>
    </nc>
  </rcc>
  <rcc rId="1143" sId="6" numFmtId="34">
    <nc r="Q8">
      <v>3913</v>
    </nc>
  </rcc>
  <rcc rId="1144" sId="6" numFmtId="34">
    <nc r="Q9">
      <v>-1283</v>
    </nc>
  </rcc>
  <rrc rId="1145" sId="6" eol="1" ref="A11:XFD11" action="insertRow">
    <undo index="0" exp="area" ref3D="1" dr="$C$1:$F$1048576" dn="Z_9AF4A83C_CF57_4B40_8A74_6A0EA6C2FE5C_.wvu.Cols" sId="6"/>
  </rr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9" sId="2">
    <oc r="S27">
      <f>S3+S4+S5+S6+S10+S12+S14+S15+S16+S18+S19+S20+S21+S22+S24+S25+S26+S17</f>
    </oc>
    <nc r="S27">
      <f>S3+S4+S5+S6+S10+S12+S18+S19+S20+S21+S22+S24+S25+S26+S17</f>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Q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8" sqref="Q3"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4"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5" start="0" length="0">
    <dxf>
      <font>
        <i/>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6"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7"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8"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9"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10" start="0" length="0">
    <dxf>
      <font>
        <b/>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11" start="0" length="0">
    <dxf>
      <font>
        <sz val="8"/>
        <color auto="1"/>
        <name val="Open Sans"/>
        <scheme val="none"/>
      </font>
      <numFmt numFmtId="165" formatCode="_(* #\ ###\ ##0_);_(* \(#\ ###\ ##0\);_(* &quot;-&quot;_);_(@_)"/>
      <alignment horizontal="right" vertical="top" readingOrder="0"/>
      <border outline="0">
        <top style="dotted">
          <color rgb="FF6F7779"/>
        </top>
        <bottom style="dotted">
          <color rgb="FF6F7779"/>
        </bottom>
      </border>
    </dxf>
  </rfmt>
  <rfmt sheetId="8" sqref="Q12" start="0" length="0">
    <dxf>
      <font>
        <b/>
        <sz val="8"/>
        <color rgb="FFEC0000"/>
        <name val="Open Sans"/>
        <scheme val="none"/>
      </font>
      <numFmt numFmtId="165" formatCode="_(* #\ ###\ ##0_);_(* \(#\ ###\ ##0\);_(* &quot;-&quot;_);_(@_)"/>
      <alignment horizontal="right" vertical="top" readingOrder="0"/>
      <border outline="0">
        <top style="thin">
          <color rgb="FFEC0000"/>
        </top>
        <bottom style="thin">
          <color rgb="FFEC0000"/>
        </bottom>
      </border>
    </dxf>
  </rfmt>
  <rcc rId="1148" sId="8">
    <nc r="Q10">
      <f>Q3+Q4+Q6+Q7+Q9</f>
    </nc>
  </rcc>
  <rcc rId="1149" sId="8">
    <nc r="Q12">
      <f>Q10+Q11</f>
    </nc>
  </rcc>
  <rcc rId="1150" sId="8" numFmtId="19">
    <nc r="Q2">
      <v>44104</v>
    </nc>
  </rcc>
  <rcc rId="1151" sId="8" numFmtId="34">
    <nc r="Q3">
      <v>56436827</v>
    </nc>
  </rcc>
  <rcc rId="1152" sId="8" numFmtId="34">
    <nc r="Q4">
      <v>81778792</v>
    </nc>
  </rcc>
  <rcc rId="1153" sId="8" numFmtId="34">
    <nc r="Q5">
      <v>52518480</v>
    </nc>
  </rcc>
  <rcc rId="1154" sId="8" numFmtId="34">
    <nc r="Q6">
      <v>9628749</v>
    </nc>
  </rcc>
  <rcc rId="1155" sId="8" numFmtId="34">
    <nc r="Q7">
      <v>300439</v>
    </nc>
  </rcc>
  <rcc rId="1156" sId="8" numFmtId="34">
    <nc r="Q9">
      <v>38788</v>
    </nc>
  </rcc>
  <rcc rId="1157" sId="8" numFmtId="34">
    <nc r="Q8">
      <v>0</v>
    </nc>
  </rcc>
  <rcc rId="1158" sId="8" numFmtId="34">
    <nc r="Q11">
      <v>-6132157</v>
    </nc>
  </rcc>
  <rfmt sheetId="10" s="1" sqref="M2" start="0" length="0">
    <dxf>
      <font>
        <b/>
        <sz val="8"/>
        <color rgb="FFCC0000"/>
        <name val="Open Sans"/>
        <scheme val="none"/>
      </font>
      <numFmt numFmtId="19" formatCode="dd/mm/yyyy"/>
      <alignment horizontal="right" readingOrder="0"/>
      <border outline="0">
        <right style="thin">
          <color theme="0"/>
        </right>
        <bottom style="medium">
          <color rgb="FFCC0000"/>
        </bottom>
      </border>
    </dxf>
  </rfmt>
  <rfmt sheetId="10" s="1" sqref="M3" start="0" length="0">
    <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4"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5"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6"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7" start="0" length="0">
    <dxf>
      <font>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8" start="0" length="0">
    <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9"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0"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1"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2"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3" start="0" length="0">
    <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4"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5"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6"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7"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8" start="0" length="0">
    <dxf>
      <font>
        <b/>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19"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20"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21"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22" start="0" length="0">
    <dxf>
      <font>
        <i val="0"/>
        <sz val="8"/>
        <color auto="1"/>
        <name val="Open Sans"/>
        <scheme val="none"/>
      </font>
      <numFmt numFmtId="165"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0" s="1" sqref="M23" start="0" length="0">
    <dxf>
      <numFmt numFmtId="166" formatCode="_(* #\ ###\ ##0_);_(* \(#\ ##0\);_(* &quot;-&quot;_);_(@_)"/>
      <alignment horizontal="center" vertical="center" readingOrder="0"/>
      <border outline="0">
        <left style="thin">
          <color indexed="9"/>
        </left>
        <right style="thin">
          <color indexed="9"/>
        </right>
        <top style="thin">
          <color rgb="FFFF0000"/>
        </top>
        <bottom style="thin">
          <color rgb="FFFF0000"/>
        </bottom>
      </border>
    </dxf>
  </rfmt>
  <rfmt sheetId="10" sqref="M24" start="0" length="0">
    <dxf>
      <numFmt numFmtId="166" formatCode="_(* #\ ###\ ##0_);_(* \(#\ ##0\);_(* &quot;-&quot;_);_(@_)"/>
    </dxf>
  </rfmt>
  <rcc rId="1159" sId="10">
    <nc r="M2" t="inlineStr">
      <is>
        <t>3Q 2020</t>
      </is>
    </nc>
  </rcc>
  <rcc rId="1160" sId="10" numFmtId="34">
    <nc r="M4">
      <v>3</v>
    </nc>
  </rcc>
  <rcc rId="1161" sId="10" numFmtId="34">
    <nc r="M5">
      <v>0</v>
    </nc>
  </rcc>
  <rcc rId="1162" sId="10" numFmtId="34">
    <nc r="M6">
      <v>0</v>
    </nc>
  </rcc>
  <rcc rId="1163" sId="10" numFmtId="34">
    <nc r="M7">
      <v>0</v>
    </nc>
  </rcc>
  <rcc rId="1164" sId="10">
    <nc r="M3">
      <f>SUM(M4:M7)</f>
    </nc>
  </rcc>
  <rcc rId="1165" sId="10">
    <nc r="M8">
      <f>SUM(M9:M12)</f>
    </nc>
  </rcc>
  <rcc rId="1166" sId="10">
    <nc r="M13">
      <f>SUM(M14:M17)</f>
    </nc>
  </rcc>
  <rcc rId="1167" sId="10">
    <nc r="M18">
      <f>SUM(M19:M22)</f>
    </nc>
  </rcc>
  <rcc rId="1168" sId="10">
    <nc r="M23">
      <f>SUM(M3,M8,M13,M18)</f>
    </nc>
  </rcc>
  <rcc rId="1169" sId="10" numFmtId="34">
    <nc r="M9">
      <v>513</v>
    </nc>
  </rcc>
  <rcc rId="1170" sId="10" numFmtId="34">
    <nc r="M10">
      <v>-97955</v>
    </nc>
  </rcc>
  <rcc rId="1171" sId="10" numFmtId="34">
    <nc r="M11">
      <v>-256963</v>
    </nc>
  </rcc>
  <rcc rId="1172" sId="10" numFmtId="34">
    <nc r="M12">
      <v>3896</v>
    </nc>
  </rcc>
  <rcc rId="1173" sId="10" numFmtId="34">
    <nc r="M14">
      <v>0</v>
    </nc>
  </rcc>
  <rcc rId="1174" sId="10" numFmtId="34">
    <nc r="M15">
      <v>0</v>
    </nc>
  </rcc>
  <rcc rId="1175" sId="10" numFmtId="34">
    <nc r="M16">
      <v>-9680</v>
    </nc>
  </rcc>
  <rcc rId="1176" sId="10" numFmtId="34">
    <nc r="M17">
      <v>0</v>
    </nc>
  </rcc>
  <rcc rId="1177" sId="10" numFmtId="34">
    <nc r="M19">
      <v>1227</v>
    </nc>
  </rcc>
  <rcc rId="1178" sId="10" numFmtId="34">
    <nc r="M20">
      <v>1522</v>
    </nc>
  </rcc>
  <rcc rId="1179" sId="10" numFmtId="34">
    <nc r="M21">
      <v>-1461</v>
    </nc>
  </rcc>
  <rcc rId="1180" sId="10" numFmtId="34">
    <nc r="M22">
      <v>0</v>
    </nc>
  </rcc>
  <rcv guid="{899D69CD-4B7E-42BC-9944-5BD922EB798C}" action="delete"/>
  <rdn rId="0" localSheetId="2" customView="1" name="Z_899D69CD_4B7E_42BC_9944_5BD922EB798C_.wvu.PrintArea" hidden="1" oldHidden="1">
    <formula>BS!$A$1:$P$50</formula>
    <oldFormula>BS!$A$1:$P$50</oldFormula>
  </rdn>
  <rdn rId="0" localSheetId="4" customView="1" name="Z_899D69CD_4B7E_42BC_9944_5BD922EB798C_.wvu.Cols" hidden="1" oldHidden="1">
    <formula>'Przychody prowizyjne'!$C:$K</formula>
    <oldFormula>'Przychody prowizyjne'!$C:$K</oldFormula>
  </rdn>
  <rdn rId="0" localSheetId="8" customView="1" name="Z_899D69CD_4B7E_42BC_9944_5BD922EB798C_.wvu.Rows" hidden="1" oldHidden="1">
    <formula>'Należności od klientów'!$8:$8</formula>
    <oldFormula>'Należności od klientów'!$8:$8</oldFormula>
  </rdn>
  <rcv guid="{899D69CD-4B7E-42BC-9944-5BD922EB798C}"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84" sId="2" numFmtId="34">
    <oc r="I17">
      <f>I70--I73</f>
    </oc>
    <nc r="I17">
      <v>2607112</v>
    </nc>
  </rcc>
  <rcc rId="1185" sId="2" numFmtId="34">
    <oc r="J17">
      <f>J70--J73</f>
    </oc>
    <nc r="J17">
      <v>1638155</v>
    </nc>
  </rcc>
  <rcc rId="1186" sId="2" numFmtId="34">
    <oc r="K17">
      <f>K70--K73</f>
    </oc>
    <nc r="K17">
      <v>2746983</v>
    </nc>
  </rcc>
  <rcc rId="1187" sId="2" numFmtId="34">
    <oc r="L17">
      <f>L70--L73</f>
    </oc>
    <nc r="L17">
      <v>1708744</v>
    </nc>
  </rcc>
  <rcc rId="1188" sId="2" numFmtId="34">
    <oc r="M17">
      <f>M70--M73</f>
    </oc>
    <nc r="M17">
      <v>1601898</v>
    </nc>
  </rcc>
  <rcc rId="1189" sId="2" numFmtId="34">
    <oc r="N17">
      <f>N70--N73</f>
    </oc>
    <nc r="N17">
      <v>1216615</v>
    </nc>
  </rcc>
  <rcc rId="1190" sId="2" numFmtId="34">
    <oc r="O17">
      <f>O70--O73</f>
    </oc>
    <nc r="O17">
      <v>1167517</v>
    </nc>
  </rcc>
  <rcv guid="{899D69CD-4B7E-42BC-9944-5BD922EB798C}" action="delete"/>
  <rdn rId="0" localSheetId="2" customView="1" name="Z_899D69CD_4B7E_42BC_9944_5BD922EB798C_.wvu.PrintArea" hidden="1" oldHidden="1">
    <formula>BS!$A$1:$P$50</formula>
    <oldFormula>BS!$A$1:$P$50</oldFormula>
  </rdn>
  <rdn rId="0" localSheetId="4" customView="1" name="Z_899D69CD_4B7E_42BC_9944_5BD922EB798C_.wvu.Cols" hidden="1" oldHidden="1">
    <formula>'Przychody prowizyjne'!$C:$K</formula>
    <oldFormula>'Przychody prowizyjne'!$C:$K</oldFormula>
  </rdn>
  <rdn rId="0" localSheetId="8" customView="1" name="Z_899D69CD_4B7E_42BC_9944_5BD922EB798C_.wvu.Rows" hidden="1" oldHidden="1">
    <formula>'Należności od klientów'!$8:$8</formula>
    <oldFormula>'Należności od klientów'!$8:$8</oldFormula>
  </rdn>
  <rcv guid="{899D69CD-4B7E-42BC-9944-5BD922EB798C}"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4" sId="11" numFmtId="34">
    <oc r="Q4">
      <v>74734896</v>
    </oc>
    <nc r="Q4">
      <v>21218059</v>
    </nc>
  </rcc>
  <rcc rId="1195" sId="11" numFmtId="34">
    <oc r="Q5">
      <v>21218059</v>
    </oc>
    <nc r="Q5">
      <v>74734896</v>
    </nc>
  </rcc>
  <rcv guid="{687A4863-1825-4D63-B732-E76682E6DE4F}" action="delete"/>
  <rdn rId="0" localSheetId="2" customView="1" name="Z_687A4863_1825_4D63_B732_E76682E6DE4F_.wvu.PrintArea" hidden="1" oldHidden="1">
    <formula>BS!$A$1:$P$50</formula>
    <oldFormula>BS!$A$1:$P$50</oldFormula>
  </rdn>
  <rdn rId="0" localSheetId="11" customView="1" name="Z_687A4863_1825_4D63_B732_E76682E6DE4F_.wvu.Cols" hidden="1" oldHidden="1">
    <formula>'Zobowiązania wobec klientów'!$C:$P</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1" customView="1" name="Z_687A4863_1825_4D63_B732_E76682E6DE4F_.wvu.Cols" hidden="1" oldHidden="1">
    <oldFormula>'Zobowiązania wobec klientów'!$C:$P</oldFormula>
  </rdn>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4" sId="11" numFmtId="34">
    <oc r="Q8">
      <v>49639463</v>
    </oc>
    <nc r="Q8">
      <v>49450871</v>
    </nc>
  </rc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7" sId="2" numFmtId="34">
    <oc r="S26">
      <v>1322924</v>
    </oc>
    <nc r="S26">
      <v>1134331</v>
    </nc>
  </rcc>
  <rcc rId="1208" sId="2" numFmtId="34">
    <oc r="S31">
      <v>166914997</v>
    </oc>
    <nc r="S31">
      <v>166726404</v>
    </nc>
  </rcc>
  <rcv guid="{9AF4A83C-CF57-4B40-8A74-6A0EA6C2FE5C}" action="delete"/>
  <rdn rId="0" localSheetId="1" customView="1" name="Z_9AF4A83C_CF57_4B40_8A74_6A0EA6C2FE5C_.wvu.Cols" hidden="1" oldHidden="1">
    <formula>'P&amp;L'!$C:$J</formula>
    <oldFormula>'P&amp;L'!$C:$J</oldFormula>
  </rdn>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6" sId="11" numFmtId="34">
    <oc r="Q16">
      <v>47</v>
    </oc>
    <nc r="Q16">
      <f>47-1</f>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87A4863-1825-4D63-B732-E76682E6DE4F}" action="delete"/>
  <rdn rId="0" localSheetId="2" customView="1" name="Z_687A4863_1825_4D63_B732_E76682E6DE4F_.wvu.PrintArea" hidden="1" oldHidden="1">
    <formula>BS!$A$1:$P$50</formula>
    <oldFormula>BS!$A$1:$P$50</oldFormula>
  </rdn>
  <rdn rId="0" localSheetId="13" customView="1" name="Z_687A4863_1825_4D63_B732_E76682E6DE4F_.wvu.Cols" hidden="1" oldHidden="1">
    <formula>'Aktywa i zobow. fin. do obrotu'!$M:$P</formula>
    <oldFormula>'Aktywa i zobow. fin. do obrotu'!$M:$P</oldFormula>
  </rdn>
  <rcv guid="{687A4863-1825-4D63-B732-E76682E6DE4F}"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J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J3" start="0" length="0">
    <dxf>
      <font>
        <b/>
        <sz val="8"/>
        <color auto="1"/>
        <name val="Open Sans"/>
        <scheme val="none"/>
      </font>
      <numFmt numFmtId="165" formatCode="_(* #\ ###\ ##0_);_(* \(#\ ###\ ##0\);_(* &quot;-&quot;_);_(@_)"/>
      <alignment horizontal="right" vertical="top" readingOrder="0"/>
      <border outline="0">
        <top style="medium">
          <color rgb="FFCC0000"/>
        </top>
        <bottom style="thin">
          <color rgb="FFC00000"/>
        </bottom>
      </border>
    </dxf>
  </rfmt>
  <rfmt sheetId="19" sqref="J4" start="0" length="0">
    <dxf>
      <font>
        <sz val="8"/>
        <color auto="1"/>
        <name val="Open Sans"/>
        <scheme val="none"/>
      </font>
      <numFmt numFmtId="165" formatCode="_(* #\ ###\ ##0_);_(* \(#\ ###\ ##0\);_(* &quot;-&quot;_);_(@_)"/>
      <alignment horizontal="right" vertical="top" readingOrder="0"/>
      <border outline="0">
        <bottom style="dotted">
          <color rgb="FF6F7779"/>
        </bottom>
      </border>
    </dxf>
  </rfmt>
  <rfmt sheetId="19" sqref="J5" start="0" length="0">
    <dxf>
      <font>
        <sz val="8"/>
        <color auto="1"/>
        <name val="Open Sans"/>
        <scheme val="none"/>
      </font>
      <numFmt numFmtId="165" formatCode="_(* #\ ###\ ##0_);_(* \(#\ ###\ ##0\);_(* &quot;-&quot;_);_(@_)"/>
      <alignment horizontal="right" vertical="top" readingOrder="0"/>
      <border outline="0">
        <top style="dotted">
          <color rgb="FF6F7779"/>
        </top>
      </border>
    </dxf>
  </rfmt>
  <rfmt sheetId="19" sqref="J6"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19" sqref="J7" start="0" length="0">
    <dxf>
      <font>
        <sz val="8"/>
        <color auto="1"/>
        <name val="Open Sans"/>
        <scheme val="none"/>
      </font>
      <numFmt numFmtId="165" formatCode="_(* #\ ###\ ##0_);_(* \(#\ ###\ ##0\);_(* &quot;-&quot;_);_(@_)"/>
      <alignment horizontal="right" vertical="top" readingOrder="0"/>
      <border outline="0">
        <bottom style="dotted">
          <color rgb="FF6F7779"/>
        </bottom>
      </border>
    </dxf>
  </rfmt>
  <rfmt sheetId="19" sqref="J8" start="0" length="0">
    <dxf>
      <font>
        <sz val="8"/>
        <color auto="1"/>
        <name val="Open Sans"/>
        <scheme val="none"/>
      </font>
      <numFmt numFmtId="165" formatCode="_(* #\ ###\ ##0_);_(* \(#\ ###\ ##0\);_(* &quot;-&quot;_);_(@_)"/>
      <alignment horizontal="right" vertical="top" readingOrder="0"/>
      <border outline="0">
        <top style="dotted">
          <color rgb="FF6F7779"/>
        </top>
      </border>
    </dxf>
  </rfmt>
  <rfmt sheetId="19" sqref="J9"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19" sqref="J10" start="0" length="0">
    <dxf>
      <font>
        <sz val="8"/>
        <color auto="1"/>
        <name val="Open Sans"/>
        <scheme val="none"/>
      </font>
      <numFmt numFmtId="165" formatCode="_(* #\ ###\ ##0_);_(* \(#\ ###\ ##0\);_(* &quot;-&quot;_);_(@_)"/>
      <alignment horizontal="right" vertical="top" readingOrder="0"/>
      <border outline="0">
        <bottom style="dotted">
          <color rgb="FF6F7779"/>
        </bottom>
      </border>
    </dxf>
  </rfmt>
  <rfmt sheetId="19" sqref="J11" start="0" length="0">
    <dxf>
      <font>
        <sz val="8"/>
        <color auto="1"/>
        <name val="Open Sans"/>
        <scheme val="none"/>
      </font>
      <numFmt numFmtId="165" formatCode="_(* #\ ###\ ##0_);_(* \(#\ ###\ ##0\);_(* &quot;-&quot;_);_(@_)"/>
      <alignment horizontal="right" vertical="top" readingOrder="0"/>
      <border outline="0">
        <top style="dotted">
          <color rgb="FF6F7779"/>
        </top>
      </border>
    </dxf>
  </rfmt>
  <rfmt sheetId="19" sqref="J12" start="0" length="0">
    <dxf>
      <font>
        <b/>
        <sz val="8"/>
        <color auto="1"/>
        <name val="Open Sans"/>
        <scheme val="none"/>
      </font>
      <numFmt numFmtId="165" formatCode="_(* #\ ###\ ##0_);_(* \(#\ ###\ ##0\);_(* &quot;-&quot;_);_(@_)"/>
      <alignment horizontal="right" vertical="top" readingOrder="0"/>
      <border outline="0">
        <top style="thin">
          <color rgb="FFC00000"/>
        </top>
        <bottom style="thin">
          <color rgb="FFC00000"/>
        </bottom>
      </border>
    </dxf>
  </rfmt>
  <rfmt sheetId="19" sqref="J13" start="0" length="0">
    <dxf>
      <font>
        <sz val="8"/>
        <color auto="1"/>
        <name val="Open Sans"/>
        <scheme val="none"/>
      </font>
      <numFmt numFmtId="165" formatCode="_(* #\ ###\ ##0_);_(* \(#\ ###\ ##0\);_(* &quot;-&quot;_);_(@_)"/>
      <alignment horizontal="right" vertical="top" readingOrder="0"/>
      <border outline="0">
        <bottom style="dotted">
          <color rgb="FF6F7779"/>
        </bottom>
      </border>
    </dxf>
  </rfmt>
  <rfmt sheetId="19" sqref="J14" start="0" length="0">
    <dxf>
      <font>
        <sz val="8"/>
        <color auto="1"/>
        <name val="Open Sans"/>
        <scheme val="none"/>
      </font>
      <numFmt numFmtId="165" formatCode="_(* #\ ###\ ##0_);_(* \(#\ ###\ ##0\);_(* &quot;-&quot;_);_(@_)"/>
      <alignment horizontal="right" vertical="top" readingOrder="0"/>
      <border outline="0">
        <top style="dotted">
          <color rgb="FF6F7779"/>
        </top>
        <bottom style="medium">
          <color rgb="FFC00000"/>
        </bottom>
      </border>
    </dxf>
  </rfmt>
  <rfmt sheetId="19" sqref="J15" start="0" length="0">
    <dxf>
      <font>
        <b/>
        <sz val="8"/>
        <color auto="1"/>
        <name val="Open Sans"/>
        <scheme val="none"/>
      </font>
      <numFmt numFmtId="165" formatCode="_(* #\ ###\ ##0_);_(* \(#\ ###\ ##0\);_(* &quot;-&quot;_);_(@_)"/>
      <alignment horizontal="right" vertical="top" readingOrder="0"/>
      <border outline="0">
        <bottom style="dotted">
          <color theme="0" tint="-0.499984740745262"/>
        </bottom>
      </border>
    </dxf>
  </rfmt>
  <rfmt sheetId="19" sqref="J16" start="0" length="0">
    <dxf>
      <font>
        <b/>
        <sz val="8"/>
        <color auto="1"/>
        <name val="Open Sans"/>
        <scheme val="none"/>
      </font>
      <numFmt numFmtId="165" formatCode="_(* #\ ###\ ##0_);_(* \(#\ ###\ ##0\);_(* &quot;-&quot;_);_(@_)"/>
      <alignment horizontal="right" vertical="top" readingOrder="0"/>
      <border outline="0">
        <top style="dotted">
          <color theme="0" tint="-0.499984740745262"/>
        </top>
      </border>
    </dxf>
  </rfmt>
  <rfmt sheetId="19" sqref="J17" start="0" length="0">
    <dxf>
      <font>
        <b/>
        <sz val="8"/>
        <color rgb="FFEC0000"/>
        <name val="Open Sans"/>
        <scheme val="none"/>
      </font>
      <numFmt numFmtId="165" formatCode="_(* #\ ###\ ##0_);_(* \(#\ ###\ ##0\);_(* &quot;-&quot;_);_(@_)"/>
      <alignment horizontal="right" vertical="top" readingOrder="0"/>
      <border outline="0">
        <top style="thin">
          <color rgb="FFC00000"/>
        </top>
        <bottom style="medium">
          <color rgb="FFC00000"/>
        </bottom>
      </border>
    </dxf>
  </rfmt>
  <rcc rId="1219" sId="19" numFmtId="19">
    <nc r="J2">
      <v>44104</v>
    </nc>
  </rcc>
  <rcc rId="1220" sId="19" numFmtId="34">
    <nc r="J4">
      <v>129855264</v>
    </nc>
  </rcc>
  <rcc rId="1221" sId="19" numFmtId="34">
    <nc r="J5">
      <v>-559747</v>
    </nc>
  </rcc>
  <rcc rId="1222" sId="19" numFmtId="34">
    <nc r="J7">
      <v>7784160</v>
    </nc>
  </rcc>
  <rcc rId="1223" sId="19" numFmtId="34">
    <nc r="J8">
      <v>-819377</v>
    </nc>
  </rcc>
  <rcc rId="1224" sId="19" numFmtId="34">
    <nc r="J10">
      <v>7629025</v>
    </nc>
  </rcc>
  <rcc rId="1225" sId="19" numFmtId="34">
    <nc r="J11">
      <v>-4530127</v>
    </nc>
  </rcc>
  <rcc rId="1226" sId="19" numFmtId="34">
    <nc r="J13">
      <v>718820</v>
    </nc>
  </rcc>
  <rcc rId="1227" sId="19" numFmtId="34">
    <nc r="J14">
      <v>-222906</v>
    </nc>
  </rcc>
  <rcc rId="1228" sId="19" numFmtId="34">
    <nc r="J15">
      <v>145987269</v>
    </nc>
  </rcc>
  <rcc rId="1229" sId="19" numFmtId="34">
    <nc r="J16">
      <v>-6132157</v>
    </nc>
  </rcc>
  <rcc rId="1230" sId="19" numFmtId="34">
    <nc r="J17">
      <v>139855112</v>
    </nc>
  </rcc>
  <rfmt sheetId="19" sqref="J2">
    <dxf>
      <fill>
        <patternFill patternType="solid">
          <bgColor rgb="FFFFFF00"/>
        </patternFill>
      </fill>
    </dxf>
  </rfmt>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0" sId="2">
    <oc r="T27">
      <v>223022557</v>
    </oc>
    <nc r="T27"/>
  </rcc>
  <rcc rId="701" sId="2">
    <oc r="U27">
      <f>T27-S27</f>
    </oc>
    <nc r="U27"/>
  </rcc>
  <rcc rId="702" sId="1" numFmtId="34">
    <oc r="Q12">
      <v>0</v>
    </oc>
    <nc r="Q12">
      <v>28321</v>
    </nc>
  </rcc>
  <rcc rId="703" sId="1" numFmtId="34">
    <oc r="Q13">
      <v>28321</v>
    </oc>
    <nc r="Q13">
      <v>128102</v>
    </nc>
  </rcc>
  <rcc rId="704" sId="1" numFmtId="34">
    <oc r="Q14">
      <v>128102</v>
    </oc>
    <nc r="Q14">
      <v>0</v>
    </nc>
  </rcc>
  <rcv guid="{9AF4A83C-CF57-4B40-8A74-6A0EA6C2FE5C}" action="delete"/>
  <rdn rId="0" localSheetId="1" customView="1" name="Z_9AF4A83C_CF57_4B40_8A74_6A0EA6C2FE5C_.wvu.Cols" hidden="1" oldHidden="1">
    <formula>'P&amp;L'!$B:$O</formula>
  </rdn>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1" sqref="R1" start="0" length="0">
    <dxf>
      <font>
        <b/>
        <sz val="8"/>
        <color rgb="FFCC0000"/>
        <name val="Open Sans"/>
        <scheme val="none"/>
      </font>
      <alignment horizontal="right" vertical="center" wrapText="1" readingOrder="0"/>
      <border outline="0">
        <bottom style="medium">
          <color rgb="FFCC0000"/>
        </bottom>
      </border>
    </dxf>
  </rfmt>
  <rfmt sheetId="17" s="1" sqref="R2" start="0" length="0">
    <dxf>
      <font>
        <sz val="8"/>
        <color auto="1"/>
        <name val="Open Sans"/>
        <scheme val="none"/>
      </font>
      <alignment vertical="center" readingOrder="0"/>
      <border outline="0">
        <top style="dotted">
          <color rgb="FF6F7779"/>
        </top>
      </border>
    </dxf>
  </rfmt>
  <rfmt sheetId="17" s="1" sqref="R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7" s="1" sqref="R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R5"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6"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7"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8"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9"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10"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11"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12" start="0" length="0">
    <dxf>
      <font>
        <sz val="8"/>
        <color auto="1"/>
        <name val="Open Sans"/>
        <scheme val="none"/>
      </font>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13"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7" s="1" sqref="R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7" s="1" sqref="R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7" s="1" sqref="R16" start="0" length="0">
    <dxf>
      <font>
        <sz val="8"/>
        <color auto="1"/>
        <name val="Open Sans"/>
        <scheme val="none"/>
      </font>
      <numFmt numFmtId="4" formatCode="#,##0.00"/>
      <alignment vertical="center" readingOrder="0"/>
      <border outline="0">
        <bottom style="medium">
          <color rgb="FFCC0000"/>
        </bottom>
      </border>
    </dxf>
  </rfmt>
  <rfmt sheetId="17" s="1" sqref="R17" start="0" length="0">
    <dxf>
      <font>
        <sz val="8"/>
        <color auto="1"/>
        <name val="Open Sans"/>
        <scheme val="none"/>
      </font>
      <numFmt numFmtId="4" formatCode="#,##0.00"/>
      <alignment vertical="center" readingOrder="0"/>
    </dxf>
  </rfmt>
  <rfmt sheetId="17" s="1" sqref="R18" start="0" length="0">
    <dxf>
      <font>
        <i/>
        <sz val="6"/>
        <color theme="1"/>
        <name val="Open Sans"/>
        <scheme val="none"/>
      </font>
      <alignment horizontal="left" vertical="center" wrapText="1" readingOrder="0"/>
    </dxf>
  </rfmt>
  <rfmt sheetId="17" s="1" sqref="R19" start="0" length="0">
    <dxf>
      <font>
        <i/>
        <sz val="6"/>
        <color theme="1"/>
        <name val="Open Sans"/>
        <scheme val="none"/>
      </font>
      <alignment horizontal="left" vertical="center" wrapText="1" readingOrder="0"/>
    </dxf>
  </rfmt>
  <rfmt sheetId="17" s="1" sqref="R20" start="0" length="0">
    <dxf>
      <font>
        <i/>
        <sz val="6"/>
        <color theme="1"/>
        <name val="Open Sans"/>
        <scheme val="none"/>
      </font>
      <alignment horizontal="left" vertical="center" wrapText="1" readingOrder="0"/>
    </dxf>
  </rfmt>
  <rfmt sheetId="17" s="1" sqref="R21" start="0" length="0">
    <dxf>
      <font>
        <i/>
        <sz val="6"/>
        <color theme="1"/>
        <name val="Open Sans"/>
        <scheme val="none"/>
      </font>
      <alignment horizontal="left" vertical="center" wrapText="1" readingOrder="0"/>
    </dxf>
  </rfmt>
  <rfmt sheetId="17" s="1" sqref="R22" start="0" length="0">
    <dxf>
      <font>
        <i/>
        <sz val="6"/>
        <color theme="1"/>
        <name val="Open Sans"/>
        <scheme val="none"/>
      </font>
      <alignment horizontal="left" vertical="center" wrapText="1" readingOrder="0"/>
    </dxf>
  </rfmt>
  <rfmt sheetId="17" s="1" sqref="R23" start="0" length="0">
    <dxf>
      <font>
        <i/>
        <sz val="6"/>
        <color theme="1"/>
        <name val="Open Sans"/>
        <scheme val="none"/>
      </font>
      <alignment horizontal="left" vertical="center" wrapText="1" readingOrder="0"/>
    </dxf>
  </rfmt>
  <rfmt sheetId="17" s="1" sqref="R24" start="0" length="0">
    <dxf>
      <font>
        <i/>
        <sz val="6"/>
        <color theme="1"/>
        <name val="Open Sans"/>
        <scheme val="none"/>
      </font>
      <alignment horizontal="left" vertical="center" wrapText="1" readingOrder="0"/>
    </dxf>
  </rfmt>
  <rfmt sheetId="17" s="1" sqref="R25" start="0" length="0">
    <dxf>
      <font>
        <i/>
        <sz val="6"/>
        <color theme="1"/>
        <name val="Open Sans"/>
        <scheme val="none"/>
      </font>
      <alignment horizontal="left" vertical="center" wrapText="1" readingOrder="0"/>
    </dxf>
  </rfmt>
  <rfmt sheetId="17" s="1" sqref="R26" start="0" length="0">
    <dxf>
      <font>
        <i/>
        <sz val="6"/>
        <color theme="1"/>
        <name val="Open Sans"/>
        <scheme val="none"/>
      </font>
      <alignment horizontal="left" vertical="center" wrapText="1" readingOrder="0"/>
    </dxf>
  </rfmt>
  <rfmt sheetId="17" s="1" sqref="R27" start="0" length="0">
    <dxf>
      <font>
        <i/>
        <sz val="6"/>
        <color theme="1"/>
        <name val="Open Sans"/>
        <scheme val="none"/>
      </font>
      <alignment horizontal="left" vertical="center" wrapText="1" readingOrder="0"/>
    </dxf>
  </rfmt>
  <rfmt sheetId="17" s="1" sqref="R1:R1048576" start="0" length="0">
    <dxf>
      <font>
        <sz val="8"/>
        <color auto="1"/>
        <name val="Swis721CnEU"/>
        <scheme val="none"/>
      </font>
    </dxf>
  </rfmt>
  <rfmt sheetId="17" s="1" sqref="Q17" start="0" length="0">
    <dxf>
      <font>
        <sz val="8"/>
        <color auto="1"/>
        <name val="Open Sans"/>
        <scheme val="none"/>
      </font>
      <numFmt numFmtId="4" formatCode="#,##0.00"/>
      <alignment vertical="center" readingOrder="0"/>
    </dxf>
  </rfmt>
  <rfmt sheetId="17" sqref="Q18" start="0" length="0">
    <dxf>
      <font>
        <i/>
        <sz val="6"/>
        <color theme="1"/>
        <name val="Open Sans"/>
        <scheme val="none"/>
      </font>
      <alignment horizontal="left" vertical="center" wrapText="1" readingOrder="0"/>
    </dxf>
  </rfmt>
  <rfmt sheetId="17" sqref="Q19" start="0" length="0">
    <dxf>
      <font>
        <i/>
        <sz val="6"/>
        <color theme="1"/>
        <name val="Open Sans"/>
        <scheme val="none"/>
      </font>
      <alignment horizontal="left" vertical="center" wrapText="1" readingOrder="0"/>
    </dxf>
  </rfmt>
  <rfmt sheetId="17" sqref="Q20" start="0" length="0">
    <dxf>
      <font>
        <i/>
        <sz val="6"/>
        <color theme="1"/>
        <name val="Open Sans"/>
        <scheme val="none"/>
      </font>
      <alignment horizontal="left" vertical="center" wrapText="1" readingOrder="0"/>
    </dxf>
  </rfmt>
  <rfmt sheetId="17" sqref="Q21" start="0" length="0">
    <dxf>
      <font>
        <i/>
        <sz val="6"/>
        <color theme="1"/>
        <name val="Open Sans"/>
        <scheme val="none"/>
      </font>
      <alignment horizontal="left" vertical="center" wrapText="1" readingOrder="0"/>
    </dxf>
  </rfmt>
  <rfmt sheetId="17" sqref="Q22" start="0" length="0">
    <dxf>
      <font>
        <i/>
        <sz val="6"/>
        <color theme="1"/>
        <name val="Open Sans"/>
        <scheme val="none"/>
      </font>
      <alignment horizontal="left" vertical="center" wrapText="1" readingOrder="0"/>
    </dxf>
  </rfmt>
  <rfmt sheetId="17" sqref="Q23" start="0" length="0">
    <dxf>
      <font>
        <i/>
        <sz val="6"/>
        <color theme="1"/>
        <name val="Open Sans"/>
        <scheme val="none"/>
      </font>
      <alignment horizontal="left" vertical="center" wrapText="1" readingOrder="0"/>
    </dxf>
  </rfmt>
  <rfmt sheetId="17" sqref="Q24" start="0" length="0">
    <dxf>
      <font>
        <i/>
        <sz val="6"/>
        <color theme="1"/>
        <name val="Open Sans"/>
        <scheme val="none"/>
      </font>
      <alignment horizontal="left" vertical="center" wrapText="1" readingOrder="0"/>
    </dxf>
  </rfmt>
  <rfmt sheetId="17" sqref="Q25" start="0" length="0">
    <dxf>
      <font>
        <i/>
        <sz val="6"/>
        <color theme="1"/>
        <name val="Open Sans"/>
        <scheme val="none"/>
      </font>
      <alignment horizontal="left" vertical="center" wrapText="1" readingOrder="0"/>
    </dxf>
  </rfmt>
  <rfmt sheetId="17" sqref="Q26" start="0" length="0">
    <dxf>
      <font>
        <i/>
        <sz val="6"/>
        <color theme="1"/>
        <name val="Open Sans"/>
        <scheme val="none"/>
      </font>
      <alignment horizontal="left" vertical="center" wrapText="1" readingOrder="0"/>
    </dxf>
  </rfmt>
  <rfmt sheetId="17" sqref="Q27" start="0" length="0">
    <dxf>
      <font>
        <i/>
        <sz val="6"/>
        <color theme="1"/>
        <name val="Open Sans"/>
        <scheme val="none"/>
      </font>
      <alignment horizontal="left" vertical="center" wrapText="1" readingOrder="0"/>
    </dxf>
  </rfmt>
  <rfmt sheetId="17" s="1" sqref="Q1:Q1048576" start="0" length="0">
    <dxf>
      <font>
        <sz val="8"/>
        <color auto="1"/>
        <name val="Swis721CnEU"/>
        <scheme val="none"/>
      </font>
    </dxf>
  </rfmt>
  <rm rId="1233" sheetId="17" source="S1:S15" destination="U2:U16" sourceSheetId="17">
    <rfmt sheetId="17" sqref="U2" start="0" length="0">
      <dxf>
        <numFmt numFmtId="168" formatCode="0.0%"/>
      </dxf>
    </rfmt>
    <rfmt sheetId="17" sqref="U3" start="0" length="0">
      <dxf>
        <numFmt numFmtId="168" formatCode="0.0%"/>
      </dxf>
    </rfmt>
    <rfmt sheetId="17" sqref="U4" start="0" length="0">
      <dxf>
        <numFmt numFmtId="168" formatCode="0.0%"/>
      </dxf>
    </rfmt>
    <rfmt sheetId="17" sqref="U5" start="0" length="0">
      <dxf>
        <numFmt numFmtId="168" formatCode="0.0%"/>
      </dxf>
    </rfmt>
    <rfmt sheetId="17" sqref="U6" start="0" length="0">
      <dxf>
        <numFmt numFmtId="168" formatCode="0.0%"/>
      </dxf>
    </rfmt>
    <rfmt sheetId="17" sqref="U7" start="0" length="0">
      <dxf>
        <numFmt numFmtId="168" formatCode="0.0%"/>
      </dxf>
    </rfmt>
    <rfmt sheetId="17" sqref="U8" start="0" length="0">
      <dxf>
        <numFmt numFmtId="168" formatCode="0.0%"/>
      </dxf>
    </rfmt>
    <rfmt sheetId="17" sqref="U9" start="0" length="0">
      <dxf>
        <numFmt numFmtId="168" formatCode="0.0%"/>
      </dxf>
    </rfmt>
    <rfmt sheetId="17" sqref="U10" start="0" length="0">
      <dxf>
        <numFmt numFmtId="168" formatCode="0.0%"/>
      </dxf>
    </rfmt>
    <rfmt sheetId="17" sqref="U11" start="0" length="0">
      <dxf>
        <numFmt numFmtId="168" formatCode="0.0%"/>
      </dxf>
    </rfmt>
    <rfmt sheetId="17" sqref="U12" start="0" length="0">
      <dxf>
        <numFmt numFmtId="168" formatCode="0.0%"/>
      </dxf>
    </rfmt>
    <rfmt sheetId="17" sqref="U13" start="0" length="0">
      <dxf>
        <numFmt numFmtId="168" formatCode="0.0%"/>
      </dxf>
    </rfmt>
    <rfmt sheetId="17" sqref="U14" start="0" length="0">
      <dxf>
        <numFmt numFmtId="168" formatCode="0.0%"/>
      </dxf>
    </rfmt>
    <rfmt sheetId="17" sqref="U15" start="0" length="0">
      <dxf>
        <numFmt numFmtId="168" formatCode="0.0%"/>
      </dxf>
    </rfmt>
    <rfmt sheetId="17" sqref="U16" start="0" length="0">
      <dxf>
        <numFmt numFmtId="168" formatCode="0.0%"/>
      </dxf>
    </rfmt>
  </rm>
  <rfmt sheetId="17" s="1" sqref="U2" start="0" length="0">
    <dxf>
      <font>
        <sz val="8"/>
        <color auto="1"/>
        <name val="Open Sans"/>
        <scheme val="none"/>
      </font>
      <numFmt numFmtId="168" formatCode="0.0%"/>
      <fill>
        <patternFill patternType="solid">
          <bgColor rgb="FFDEEDF2"/>
        </patternFill>
      </fill>
      <alignment vertical="center" readingOrder="0"/>
      <border outline="0">
        <top style="dotted">
          <color rgb="FF6F7779"/>
        </top>
      </border>
    </dxf>
  </rfmt>
  <rfmt sheetId="17" s="1" sqref="U3"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4" start="0" length="0">
    <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5"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6"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7"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8"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9" start="0" length="0">
    <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0"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1"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2" start="0" length="0">
    <dxf>
      <font>
        <sz val="8"/>
        <color auto="1"/>
        <name val="Open Sans"/>
        <scheme val="none"/>
      </font>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3" start="0" length="0">
    <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4" start="0" length="0">
    <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5" start="0" length="0">
    <dxf>
      <font>
        <sz val="8"/>
        <color auto="1"/>
        <name val="Open Sans"/>
        <scheme val="none"/>
      </font>
      <numFmt numFmtId="4" formatCode="#,##0.00"/>
      <fill>
        <patternFill patternType="solid">
          <bgColor rgb="FFDEEDF2"/>
        </patternFill>
      </fill>
      <alignment vertical="center" readingOrder="0"/>
      <border outline="0">
        <top style="dotted">
          <color theme="0" tint="-0.34998626667073579"/>
        </top>
        <bottom style="dotted">
          <color theme="0" tint="-0.34998626667073579"/>
        </bottom>
      </border>
    </dxf>
  </rfmt>
  <rfmt sheetId="17" s="1" sqref="U16" start="0" length="0">
    <dxf>
      <font>
        <sz val="8"/>
        <color auto="1"/>
        <name val="Open Sans"/>
        <scheme val="none"/>
      </font>
      <numFmt numFmtId="4" formatCode="#,##0.00"/>
      <fill>
        <patternFill patternType="solid">
          <bgColor rgb="FFDEEDF2"/>
        </patternFill>
      </fill>
      <alignment vertical="center" wrapText="1" readingOrder="0"/>
      <border outline="0">
        <bottom style="medium">
          <color rgb="FFCC0000"/>
        </bottom>
      </border>
    </dxf>
  </rfmt>
  <rcc rId="1234" sId="17" numFmtId="14">
    <nc r="U2">
      <v>0.48899999999999999</v>
    </nc>
  </rcc>
  <rcc rId="1235" sId="17" numFmtId="14">
    <nc r="U3">
      <v>0.69299999999999995</v>
    </nc>
  </rcc>
  <rcc rId="1236" sId="17" numFmtId="14">
    <nc r="U4">
      <v>2.9499999999999998E-2</v>
    </nc>
  </rcc>
  <rcc rId="1237" sId="17" numFmtId="14">
    <nc r="U5">
      <v>0.245</v>
    </nc>
  </rcc>
  <rcc rId="1238" sId="17" numFmtId="14">
    <nc r="U6">
      <v>0.85199999999999998</v>
    </nc>
  </rcc>
  <rcc rId="1239" sId="17" numFmtId="14">
    <nc r="U7">
      <v>5.7000000000000002E-2</v>
    </nc>
  </rcc>
  <rcc rId="1240" sId="17" numFmtId="14">
    <nc r="U8">
      <v>0.56899999999999995</v>
    </nc>
  </rcc>
  <rcc rId="1241" sId="17" numFmtId="14">
    <nc r="U9">
      <v>1.0699999999999999E-2</v>
    </nc>
  </rcc>
  <rcc rId="1242" sId="17" numFmtId="14">
    <nc r="U10">
      <v>6.2E-2</v>
    </nc>
  </rcc>
  <rcc rId="1243" sId="17" numFmtId="14">
    <nc r="U11">
      <v>7.4999999999999997E-2</v>
    </nc>
  </rcc>
  <rcc rId="1244" sId="17" numFmtId="14">
    <nc r="U12">
      <v>7.0000000000000001E-3</v>
    </nc>
  </rcc>
  <rcc rId="1245" sId="17" numFmtId="14">
    <nc r="U13">
      <v>0.187</v>
    </nc>
  </rcc>
  <rcc rId="1246" sId="17" numFmtId="14">
    <nc r="U14">
      <v>0.1676</v>
    </nc>
  </rcc>
  <rcc rId="1247" sId="17" numFmtId="4">
    <nc r="U15">
      <v>278.45999999999998</v>
    </nc>
  </rcc>
  <rcc rId="1248" sId="17" numFmtId="4">
    <nc r="U16">
      <v>9.36</v>
    </nc>
  </rcc>
  <rcc rId="1249" sId="17">
    <oc r="Q1" t="inlineStr">
      <is>
        <t xml:space="preserve">Q2 2020 </t>
      </is>
    </oc>
    <nc r="Q1" t="inlineStr">
      <is>
        <t xml:space="preserve">Q1-2 2020 </t>
      </is>
    </nc>
  </rcc>
  <rcc rId="1250" sId="17">
    <nc r="R1" t="inlineStr">
      <is>
        <t xml:space="preserve">Q1-3 2020 </t>
      </is>
    </nc>
  </rcc>
  <rcc rId="1251" sId="17" numFmtId="14">
    <oc r="M2">
      <v>0.48799999999999999</v>
    </oc>
    <nc r="M2">
      <v>0.48699999999999999</v>
    </nc>
  </rcc>
  <rcc rId="1252" sId="17" numFmtId="14">
    <oc r="N2">
      <v>0.45800000000000002</v>
    </oc>
    <nc r="N2">
      <v>0.45700000000000002</v>
    </nc>
  </rcc>
  <rcc rId="1253" sId="17" numFmtId="14">
    <oc r="O2">
      <v>0.47299999999999998</v>
    </oc>
    <nc r="O2">
      <v>0.47199999999999998</v>
    </nc>
  </rcc>
  <rcc rId="1254" sId="17" numFmtId="14">
    <nc r="R2">
      <v>0.48899999999999999</v>
    </nc>
  </rcc>
  <rcc rId="1255" sId="17" numFmtId="14">
    <oc r="M3">
      <v>0.69599999999999995</v>
    </oc>
    <nc r="M3">
      <v>0.69799999999999995</v>
    </nc>
  </rcc>
  <rcc rId="1256" sId="17" numFmtId="14">
    <oc r="N3">
      <v>0.69499999999999995</v>
    </oc>
    <nc r="N3">
      <v>0.69699999999999995</v>
    </nc>
  </rcc>
  <rcc rId="1257" sId="17" numFmtId="14">
    <oc r="O3">
      <v>0.69399999999999995</v>
    </oc>
    <nc r="O3">
      <v>0.69499999999999995</v>
    </nc>
  </rcc>
  <rcc rId="1258" sId="17" numFmtId="14">
    <nc r="R3">
      <v>0.69299999999999995</v>
    </nc>
  </rcc>
  <rcc rId="1259" sId="17" numFmtId="14">
    <nc r="R4">
      <v>2.9499999999999998E-2</v>
    </nc>
  </rcc>
  <rcc rId="1260" sId="17" numFmtId="14">
    <oc r="O5">
      <v>0.224</v>
    </oc>
    <nc r="O5">
      <v>0.22500000000000001</v>
    </nc>
  </rcc>
  <rcc rId="1261" sId="17" numFmtId="14">
    <nc r="R5">
      <v>0.245</v>
    </nc>
  </rcc>
  <rcc rId="1262" sId="17" numFmtId="14">
    <nc r="R6">
      <v>0.85199999999999998</v>
    </nc>
  </rcc>
  <rcc rId="1263" sId="17" numFmtId="14">
    <nc r="R7">
      <v>5.7000000000000002E-2</v>
    </nc>
  </rcc>
  <rcc rId="1264" sId="17" numFmtId="14">
    <nc r="R8">
      <v>0.56899999999999995</v>
    </nc>
  </rcc>
  <rcc rId="1265" sId="17" numFmtId="14">
    <nc r="R9">
      <v>1.0699999999999999E-2</v>
    </nc>
  </rcc>
  <rcc rId="1266" sId="17" numFmtId="14">
    <nc r="R10">
      <v>6.2E-2</v>
    </nc>
  </rcc>
  <rcc rId="1267" sId="17" numFmtId="14">
    <nc r="R11">
      <v>7.4999999999999997E-2</v>
    </nc>
  </rcc>
  <rcc rId="1268" sId="17" numFmtId="14">
    <nc r="R12">
      <v>7.0000000000000001E-3</v>
    </nc>
  </rcc>
  <rcc rId="1269" sId="17" numFmtId="14">
    <nc r="R13">
      <v>0.187</v>
    </nc>
  </rcc>
  <rcc rId="1270" sId="17" numFmtId="14">
    <nc r="R14">
      <v>0.1676</v>
    </nc>
  </rcc>
  <rcc rId="1271" sId="17" numFmtId="4">
    <nc r="R15">
      <v>278.45999999999998</v>
    </nc>
  </rcc>
  <rcc rId="1272" sId="17" numFmtId="4">
    <nc r="R16">
      <v>9.36</v>
    </nc>
  </rcc>
  <rrc rId="1273" sId="17" ref="T1:T1048576" action="deleteCol">
    <rfmt sheetId="17"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T2" start="0" length="0">
      <dxf>
        <font>
          <sz val="11"/>
          <color theme="1"/>
          <name val="Calibri"/>
          <scheme val="minor"/>
        </font>
        <numFmt numFmtId="168" formatCode="0.0%"/>
      </dxf>
    </rfmt>
    <rfmt sheetId="17" s="1" sqref="T3" start="0" length="0">
      <dxf>
        <font>
          <sz val="11"/>
          <color theme="1"/>
          <name val="Calibri"/>
          <scheme val="minor"/>
        </font>
        <numFmt numFmtId="168" formatCode="0.0%"/>
      </dxf>
    </rfmt>
    <rfmt sheetId="17" s="1" sqref="T4" start="0" length="0">
      <dxf>
        <font>
          <sz val="11"/>
          <color theme="1"/>
          <name val="Calibri"/>
          <scheme val="minor"/>
        </font>
        <numFmt numFmtId="168" formatCode="0.0%"/>
      </dxf>
    </rfmt>
    <rfmt sheetId="17" s="1" sqref="T5" start="0" length="0">
      <dxf>
        <font>
          <sz val="11"/>
          <color theme="1"/>
          <name val="Calibri"/>
          <scheme val="minor"/>
        </font>
        <numFmt numFmtId="168" formatCode="0.0%"/>
      </dxf>
    </rfmt>
    <rfmt sheetId="17" s="1" sqref="T6" start="0" length="0">
      <dxf>
        <font>
          <sz val="11"/>
          <color theme="1"/>
          <name val="Calibri"/>
          <scheme val="minor"/>
        </font>
        <numFmt numFmtId="168" formatCode="0.0%"/>
      </dxf>
    </rfmt>
    <rfmt sheetId="17" s="1" sqref="T7" start="0" length="0">
      <dxf>
        <font>
          <sz val="11"/>
          <color theme="1"/>
          <name val="Calibri"/>
          <scheme val="minor"/>
        </font>
        <numFmt numFmtId="168" formatCode="0.0%"/>
      </dxf>
    </rfmt>
    <rfmt sheetId="17" s="1" sqref="T8" start="0" length="0">
      <dxf>
        <font>
          <sz val="11"/>
          <color theme="1"/>
          <name val="Calibri"/>
          <scheme val="minor"/>
        </font>
        <numFmt numFmtId="168" formatCode="0.0%"/>
      </dxf>
    </rfmt>
    <rfmt sheetId="17" s="1" sqref="T9" start="0" length="0">
      <dxf>
        <font>
          <sz val="11"/>
          <color theme="1"/>
          <name val="Calibri"/>
          <scheme val="minor"/>
        </font>
        <numFmt numFmtId="168" formatCode="0.0%"/>
      </dxf>
    </rfmt>
    <rfmt sheetId="17" s="1" sqref="T10" start="0" length="0">
      <dxf>
        <font>
          <sz val="11"/>
          <color theme="1"/>
          <name val="Calibri"/>
          <scheme val="minor"/>
        </font>
        <numFmt numFmtId="168" formatCode="0.0%"/>
      </dxf>
    </rfmt>
    <rfmt sheetId="17" s="1" sqref="T11" start="0" length="0">
      <dxf>
        <font>
          <sz val="11"/>
          <color theme="1"/>
          <name val="Calibri"/>
          <scheme val="minor"/>
        </font>
        <numFmt numFmtId="168" formatCode="0.0%"/>
      </dxf>
    </rfmt>
    <rfmt sheetId="17" s="1" sqref="T12" start="0" length="0">
      <dxf>
        <font>
          <sz val="11"/>
          <color theme="1"/>
          <name val="Calibri"/>
          <scheme val="minor"/>
        </font>
        <numFmt numFmtId="168" formatCode="0.0%"/>
      </dxf>
    </rfmt>
    <rfmt sheetId="17" s="1" sqref="T13" start="0" length="0">
      <dxf>
        <font>
          <sz val="11"/>
          <color theme="1"/>
          <name val="Calibri"/>
          <scheme val="minor"/>
        </font>
        <numFmt numFmtId="168" formatCode="0.0%"/>
      </dxf>
    </rfmt>
    <rfmt sheetId="17" s="1" sqref="T14" start="0" length="0">
      <dxf>
        <font>
          <sz val="11"/>
          <color theme="1"/>
          <name val="Calibri"/>
          <scheme val="minor"/>
        </font>
        <numFmt numFmtId="168" formatCode="0.0%"/>
      </dxf>
    </rfmt>
    <rfmt sheetId="17" s="1" sqref="T15" start="0" length="0">
      <dxf>
        <font>
          <sz val="11"/>
          <color theme="1"/>
          <name val="Calibri"/>
          <scheme val="minor"/>
        </font>
        <numFmt numFmtId="168" formatCode="0.0%"/>
      </dxf>
    </rfmt>
    <rfmt sheetId="17" s="1" sqref="T16" start="0" length="0">
      <dxf>
        <font>
          <sz val="11"/>
          <color theme="1"/>
          <name val="Calibri"/>
          <scheme val="minor"/>
        </font>
        <numFmt numFmtId="168" formatCode="0.0%"/>
      </dxf>
    </rfmt>
  </rrc>
  <rrc rId="1274" sId="17" ref="T1:T1048576" action="deleteCol">
    <rfmt sheetId="17" xfDxf="1" s="1" sqref="T1:T104857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umFmtId="14">
      <nc r="T2">
        <v>0.48899999999999999</v>
      </nc>
      <ndxf>
        <font>
          <sz val="8"/>
          <color auto="1"/>
          <name val="Open Sans"/>
          <scheme val="none"/>
        </font>
        <numFmt numFmtId="168" formatCode="0.0%"/>
        <fill>
          <patternFill patternType="solid">
            <bgColor rgb="FFDEEDF2"/>
          </patternFill>
        </fill>
        <alignment vertical="center" readingOrder="0"/>
        <border outline="0">
          <top style="dotted">
            <color rgb="FF6F7779"/>
          </top>
        </border>
      </ndxf>
    </rcc>
    <rcc rId="0" sId="17" s="1" dxf="1" numFmtId="14">
      <nc r="T3">
        <v>0.69299999999999995</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4">
        <v>2.9499999999999998E-2</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5">
        <v>0.245</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6">
        <v>0.85199999999999998</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7">
        <v>5.7000000000000002E-2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8">
        <v>0.56899999999999995</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9">
        <v>1.0699999999999999E-2</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10">
        <v>6.2E-2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11">
        <v>7.4999999999999997E-2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12">
        <v>7.0000000000000001E-3</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13">
        <v>0.187</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T14">
        <v>0.1676</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4">
      <nc r="T15">
        <v>278.45999999999998</v>
      </nc>
      <ndxf>
        <font>
          <sz val="8"/>
          <color auto="1"/>
          <name val="Open Sans"/>
          <scheme val="none"/>
        </font>
        <numFmt numFmtId="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4">
      <nc r="T16">
        <v>9.36</v>
      </nc>
      <ndxf>
        <font>
          <sz val="8"/>
          <color auto="1"/>
          <name val="Open Sans"/>
          <scheme val="none"/>
        </font>
        <numFmt numFmtId="4" formatCode="#,##0.00"/>
        <fill>
          <patternFill patternType="solid">
            <bgColor rgb="FFDEEDF2"/>
          </patternFill>
        </fill>
        <alignment vertical="center" wrapText="1" readingOrder="0"/>
        <border outline="0">
          <bottom style="medium">
            <color rgb="FFCC0000"/>
          </bottom>
        </border>
      </ndxf>
    </rcc>
  </rrc>
  <rcc rId="1275" sId="17" odxf="1" dxf="1">
    <nc r="B33" t="inlineStr">
      <is>
        <t>Wybrane wskaźniki finansowe Grupy Santander Bank Polska S.A.</t>
      </is>
    </nc>
    <ndxf>
      <font>
        <b/>
        <sz val="8"/>
        <color rgb="FFCC0000"/>
        <name val="Open Sans"/>
        <scheme val="none"/>
      </font>
      <alignment horizontal="left" vertical="center" wrapText="1" indent="1" readingOrder="0"/>
      <border outline="0">
        <bottom style="medium">
          <color rgb="FFCC0000"/>
        </bottom>
      </border>
    </ndxf>
  </rcc>
  <rcc rId="1276" sId="17" odxf="1" dxf="1">
    <nc r="C33" t="inlineStr">
      <is>
        <t>Selected Financial Ratios of Santander Bank Polska Group</t>
      </is>
    </nc>
    <ndxf>
      <font>
        <b/>
        <sz val="8"/>
        <color rgb="FFCC0000"/>
        <name val="Open Sans"/>
        <scheme val="none"/>
      </font>
      <alignment horizontal="left" vertical="center" wrapText="1" indent="1" readingOrder="0"/>
      <border outline="0">
        <bottom style="medium">
          <color rgb="FFCC0000"/>
        </bottom>
      </border>
    </ndxf>
  </rcc>
  <rcc rId="1277" sId="17" odxf="1" dxf="1">
    <nc r="D33" t="inlineStr">
      <is>
        <t>Q1 2017</t>
      </is>
    </nc>
    <ndxf>
      <font>
        <b/>
        <sz val="8"/>
        <color rgb="FFCC0000"/>
        <name val="Open Sans"/>
        <scheme val="none"/>
      </font>
      <alignment horizontal="right" vertical="center" wrapText="1" readingOrder="0"/>
      <border outline="0">
        <right style="dashed">
          <color theme="0"/>
        </right>
        <bottom style="medium">
          <color rgb="FFCC0000"/>
        </bottom>
      </border>
    </ndxf>
  </rcc>
  <rcc rId="1278" sId="17" odxf="1" dxf="1">
    <nc r="E33" t="inlineStr">
      <is>
        <t xml:space="preserve">Q1-2  2017 </t>
      </is>
    </nc>
    <ndxf>
      <font>
        <b/>
        <sz val="8"/>
        <color rgb="FFCC0000"/>
        <name val="Open Sans"/>
        <scheme val="none"/>
      </font>
      <alignment horizontal="right" vertical="center" wrapText="1" readingOrder="0"/>
      <border outline="0">
        <bottom style="medium">
          <color rgb="FFCC0000"/>
        </bottom>
      </border>
    </ndxf>
  </rcc>
  <rcc rId="1279" sId="17" odxf="1" dxf="1">
    <nc r="F33" t="inlineStr">
      <is>
        <t>Q1-3 2017</t>
      </is>
    </nc>
    <ndxf>
      <font>
        <b/>
        <sz val="8"/>
        <color rgb="FFCC0000"/>
        <name val="Open Sans"/>
        <scheme val="none"/>
      </font>
      <alignment horizontal="right" vertical="center" wrapText="1" readingOrder="0"/>
      <border outline="0">
        <bottom style="medium">
          <color rgb="FFCC0000"/>
        </bottom>
      </border>
    </ndxf>
  </rcc>
  <rcc rId="1280" sId="17" odxf="1" dxf="1">
    <nc r="G33" t="inlineStr">
      <is>
        <t>Q1-4 2017</t>
      </is>
    </nc>
    <ndxf>
      <font>
        <b/>
        <sz val="8"/>
        <color rgb="FFCC0000"/>
        <name val="Open Sans"/>
        <scheme val="none"/>
      </font>
      <alignment horizontal="right" vertical="center" wrapText="1" readingOrder="0"/>
      <border outline="0">
        <right style="dashed">
          <color theme="0"/>
        </right>
        <bottom style="medium">
          <color rgb="FFCC0000"/>
        </bottom>
      </border>
    </ndxf>
  </rcc>
  <rcc rId="1281" sId="17" odxf="1" dxf="1">
    <nc r="H33" t="inlineStr">
      <is>
        <t>Q1 2018</t>
      </is>
    </nc>
    <ndxf>
      <font>
        <b/>
        <sz val="8"/>
        <color rgb="FFCC0000"/>
        <name val="Open Sans"/>
        <scheme val="none"/>
      </font>
      <alignment horizontal="right" vertical="center" wrapText="1" readingOrder="0"/>
      <border outline="0">
        <right style="dashed">
          <color theme="0"/>
        </right>
        <bottom style="medium">
          <color rgb="FFCC0000"/>
        </bottom>
      </border>
    </ndxf>
  </rcc>
  <rcc rId="1282" sId="17" odxf="1" dxf="1">
    <nc r="I33" t="inlineStr">
      <is>
        <t xml:space="preserve">Q1-2  2018 </t>
      </is>
    </nc>
    <ndxf>
      <font>
        <b/>
        <sz val="8"/>
        <color rgb="FFCC0000"/>
        <name val="Open Sans"/>
        <scheme val="none"/>
      </font>
      <alignment horizontal="right" vertical="center" wrapText="1" readingOrder="0"/>
      <border outline="0">
        <bottom style="medium">
          <color rgb="FFCC0000"/>
        </bottom>
      </border>
    </ndxf>
  </rcc>
  <rcc rId="1283" sId="17" odxf="1" dxf="1">
    <nc r="J33" t="inlineStr">
      <is>
        <t>Q1-3 2018</t>
      </is>
    </nc>
    <ndxf>
      <font>
        <b/>
        <sz val="8"/>
        <color rgb="FFCC0000"/>
        <name val="Open Sans"/>
        <scheme val="none"/>
      </font>
      <alignment horizontal="right" vertical="center" wrapText="1" readingOrder="0"/>
      <border outline="0">
        <bottom style="medium">
          <color rgb="FFCC0000"/>
        </bottom>
      </border>
    </ndxf>
  </rcc>
  <rcc rId="1284" sId="17" odxf="1" dxf="1">
    <nc r="K33" t="inlineStr">
      <is>
        <t>Q1-4 2018</t>
      </is>
    </nc>
    <ndxf>
      <font>
        <b/>
        <sz val="8"/>
        <color rgb="FFCC0000"/>
        <name val="Open Sans"/>
        <scheme val="none"/>
      </font>
      <alignment horizontal="right" vertical="center" wrapText="1" readingOrder="0"/>
      <border outline="0">
        <bottom style="medium">
          <color rgb="FFCC0000"/>
        </bottom>
      </border>
    </ndxf>
  </rcc>
  <rcc rId="1285" sId="17" odxf="1" dxf="1">
    <nc r="L33" t="inlineStr">
      <is>
        <t>Q1  2019</t>
      </is>
    </nc>
    <ndxf>
      <font>
        <b/>
        <sz val="8"/>
        <color rgb="FFCC0000"/>
        <name val="Open Sans"/>
        <scheme val="none"/>
      </font>
      <alignment horizontal="right" vertical="center" wrapText="1" readingOrder="0"/>
      <border outline="0">
        <bottom style="medium">
          <color rgb="FFCC0000"/>
        </bottom>
      </border>
    </ndxf>
  </rcc>
  <rcc rId="1286" sId="17" odxf="1" dxf="1">
    <nc r="M33" t="inlineStr">
      <is>
        <t>Q1-2 2019</t>
      </is>
    </nc>
    <ndxf>
      <font>
        <b/>
        <sz val="8"/>
        <color rgb="FFCC0000"/>
        <name val="Open Sans"/>
        <scheme val="none"/>
      </font>
      <alignment horizontal="right" vertical="center" wrapText="1" readingOrder="0"/>
      <border outline="0">
        <bottom style="medium">
          <color rgb="FFCC0000"/>
        </bottom>
      </border>
    </ndxf>
  </rcc>
  <rcc rId="1287" sId="17" odxf="1" dxf="1">
    <nc r="N33" t="inlineStr">
      <is>
        <t>Q1-3 2019</t>
      </is>
    </nc>
    <ndxf>
      <font>
        <b/>
        <sz val="8"/>
        <color rgb="FFCC0000"/>
        <name val="Open Sans"/>
        <scheme val="none"/>
      </font>
      <alignment horizontal="right" vertical="center" wrapText="1" readingOrder="0"/>
      <border outline="0">
        <bottom style="medium">
          <color rgb="FFCC0000"/>
        </bottom>
      </border>
    </ndxf>
  </rcc>
  <rcc rId="1288" sId="17" odxf="1" dxf="1">
    <nc r="O33" t="inlineStr">
      <is>
        <t>Q1-4 2019</t>
      </is>
    </nc>
    <ndxf>
      <font>
        <b/>
        <sz val="8"/>
        <color rgb="FFCC0000"/>
        <name val="Open Sans"/>
        <scheme val="none"/>
      </font>
      <alignment horizontal="right" vertical="center" wrapText="1" readingOrder="0"/>
      <border outline="0">
        <bottom style="medium">
          <color rgb="FFCC0000"/>
        </bottom>
      </border>
    </ndxf>
  </rcc>
  <rcc rId="1289" sId="17" odxf="1" dxf="1">
    <nc r="P33" t="inlineStr">
      <is>
        <t>Q1 2020</t>
      </is>
    </nc>
    <ndxf>
      <font>
        <b/>
        <sz val="8"/>
        <color rgb="FFCC0000"/>
        <name val="Open Sans"/>
        <scheme val="none"/>
      </font>
      <alignment horizontal="right" vertical="center" wrapText="1" readingOrder="0"/>
      <border outline="0">
        <bottom style="medium">
          <color rgb="FFCC0000"/>
        </bottom>
      </border>
    </ndxf>
  </rcc>
  <rcc rId="1290" sId="17" odxf="1" dxf="1">
    <nc r="Q33" t="inlineStr">
      <is>
        <t xml:space="preserve">Q1-2 2020 </t>
      </is>
    </nc>
    <ndxf>
      <font>
        <b/>
        <sz val="8"/>
        <color rgb="FFCC0000"/>
        <name val="Open Sans"/>
        <scheme val="none"/>
      </font>
      <alignment horizontal="right" vertical="center" wrapText="1" readingOrder="0"/>
      <border outline="0">
        <bottom style="medium">
          <color rgb="FFCC0000"/>
        </bottom>
      </border>
    </ndxf>
  </rcc>
  <rcc rId="1291" sId="17" odxf="1" dxf="1">
    <nc r="R33" t="inlineStr">
      <is>
        <t xml:space="preserve">Q1-3 2020 </t>
      </is>
    </nc>
    <ndxf>
      <font>
        <b/>
        <sz val="8"/>
        <color rgb="FFCC0000"/>
        <name val="Open Sans"/>
        <scheme val="none"/>
      </font>
      <alignment horizontal="right" vertical="center" wrapText="1" readingOrder="0"/>
      <border outline="0">
        <bottom style="medium">
          <color rgb="FFCC0000"/>
        </bottom>
      </border>
    </ndxf>
  </rcc>
  <rfmt sheetId="17" s="1" sqref="S33" start="0" length="0">
    <dxf>
      <font>
        <b/>
        <sz val="8"/>
        <color rgb="FFCC0000"/>
        <name val="Open Sans"/>
        <scheme val="none"/>
      </font>
      <alignment horizontal="right" vertical="center" wrapText="1" readingOrder="0"/>
      <border outline="0">
        <bottom style="medium">
          <color rgb="FFCC0000"/>
        </bottom>
      </border>
    </dxf>
  </rfmt>
  <rcc rId="1292" sId="17" odxf="1" s="1" dxf="1">
    <nc r="T33" t="inlineStr">
      <is>
        <t>Q1-3 2020</t>
      </is>
    </nc>
    <ndxf>
      <font>
        <b/>
        <sz val="8"/>
        <color rgb="FFCC0000"/>
        <name val="Open Sans"/>
        <scheme val="none"/>
      </font>
      <alignment horizontal="right" vertical="center" wrapText="1" readingOrder="0"/>
      <border outline="0">
        <bottom style="medium">
          <color rgb="FFCC0000"/>
        </bottom>
      </border>
    </ndxf>
  </rcc>
  <rcc rId="1293" sId="17" odxf="1" s="1" dxf="1">
    <nc r="U33" t="inlineStr">
      <is>
        <t>I poł. 2020</t>
      </is>
    </nc>
    <ndxf>
      <font>
        <b/>
        <sz val="8"/>
        <color rgb="FFCC0000"/>
        <name val="Open Sans"/>
        <scheme val="none"/>
      </font>
      <alignment horizontal="right" vertical="center" wrapText="1" readingOrder="0"/>
      <border outline="0">
        <bottom style="medium">
          <color rgb="FFCC0000"/>
        </bottom>
      </border>
    </ndxf>
  </rcc>
  <rcc rId="1294" sId="17" odxf="1" s="1" dxf="1">
    <nc r="V33" t="inlineStr">
      <is>
        <t>I poł. 2019 11)</t>
      </is>
    </nc>
    <ndxf>
      <font>
        <b/>
        <sz val="8"/>
        <color rgb="FFCC0000"/>
        <name val="Open Sans"/>
        <scheme val="none"/>
      </font>
      <alignment horizontal="right" vertical="center" wrapText="1" readingOrder="0"/>
      <border outline="0">
        <bottom style="medium">
          <color rgb="FFCC0000"/>
        </bottom>
      </border>
    </ndxf>
  </rcc>
  <rcc rId="1295" sId="17" odxf="1" s="1" dxf="1">
    <nc r="W33" t="inlineStr">
      <is>
        <t>I-III kw. 2020</t>
      </is>
    </nc>
    <ndxf>
      <font>
        <b/>
        <sz val="8"/>
        <color rgb="FFCC0000"/>
        <name val="Open Sans"/>
        <scheme val="none"/>
      </font>
      <alignment horizontal="right" vertical="center" wrapText="1" readingOrder="0"/>
      <border outline="0">
        <bottom style="medium">
          <color rgb="FFCC0000"/>
        </bottom>
      </border>
    </ndxf>
  </rcc>
  <rcc rId="1296" sId="17" odxf="1" s="1" dxf="1">
    <nc r="X33" t="inlineStr">
      <is>
        <t>I-III kw. 2019 11)</t>
      </is>
    </nc>
    <ndxf>
      <font>
        <b/>
        <sz val="8"/>
        <color rgb="FFCC0000"/>
        <name val="Open Sans"/>
        <scheme val="none"/>
      </font>
      <alignment horizontal="right" vertical="center" wrapText="1" readingOrder="0"/>
      <border outline="0">
        <bottom style="medium">
          <color rgb="FFCC0000"/>
        </bottom>
      </border>
    </ndxf>
  </rcc>
  <rcc rId="1297" sId="17" odxf="1" s="1" dxf="1">
    <nc r="Y33">
      <v>2019</v>
    </nc>
    <ndxf>
      <font>
        <b/>
        <sz val="8"/>
        <color rgb="FFCC0000"/>
        <name val="Open Sans"/>
        <scheme val="none"/>
      </font>
      <alignment horizontal="right" vertical="center" wrapText="1" readingOrder="0"/>
      <border outline="0">
        <bottom style="medium">
          <color rgb="FFCC0000"/>
        </bottom>
      </border>
    </ndxf>
  </rcc>
  <rcc rId="1298" sId="17" odxf="1" s="1" dxf="1">
    <nc r="Z33" t="inlineStr">
      <is>
        <t>2018 11)</t>
      </is>
    </nc>
    <ndxf>
      <font>
        <b/>
        <sz val="8"/>
        <color rgb="FFCC0000"/>
        <name val="Open Sans"/>
        <scheme val="none"/>
      </font>
      <alignment horizontal="right" vertical="center" wrapText="1" readingOrder="0"/>
      <border outline="0">
        <bottom style="medium">
          <color rgb="FFCC0000"/>
        </bottom>
      </border>
    </ndxf>
  </rcc>
  <rcc rId="1299" sId="17" odxf="1" s="1" dxf="1">
    <nc r="AA33" t="inlineStr">
      <is>
        <t>Q1 2020</t>
      </is>
    </nc>
    <ndxf>
      <font>
        <b/>
        <sz val="8"/>
        <color rgb="FFCC0000"/>
        <name val="Open Sans"/>
        <scheme val="none"/>
      </font>
      <alignment horizontal="right" vertical="center" wrapText="1" readingOrder="0"/>
      <border outline="0">
        <bottom style="medium">
          <color rgb="FFCC0000"/>
        </bottom>
      </border>
    </ndxf>
  </rcc>
  <rcc rId="1300" sId="17" odxf="1" s="1" dxf="1">
    <nc r="AB33" t="inlineStr">
      <is>
        <t>Q1 2019 11)</t>
      </is>
    </nc>
    <ndxf>
      <font>
        <b/>
        <sz val="8"/>
        <color rgb="FFCC0000"/>
        <name val="Open Sans"/>
        <scheme val="none"/>
      </font>
      <alignment horizontal="right" vertical="center" wrapText="1" readingOrder="0"/>
      <border outline="0">
        <right style="dashed">
          <color theme="0"/>
        </right>
        <bottom style="medium">
          <color rgb="FFCC0000"/>
        </bottom>
      </border>
    </ndxf>
  </rcc>
  <rcc rId="1301" sId="17" odxf="1" s="1" dxf="1">
    <nc r="AC33" t="inlineStr">
      <is>
        <t>Q1-3 2019 11)</t>
      </is>
    </nc>
    <ndxf>
      <font>
        <b/>
        <sz val="8"/>
        <color rgb="FFCC0000"/>
        <name val="Open Sans"/>
        <scheme val="none"/>
      </font>
      <alignment horizontal="right" vertical="center" wrapText="1" readingOrder="0"/>
      <border outline="0">
        <right style="dashed">
          <color theme="0"/>
        </right>
        <bottom style="medium">
          <color rgb="FFCC0000"/>
        </bottom>
      </border>
    </ndxf>
  </rcc>
  <rcc rId="1302" sId="17" odxf="1" dxf="1">
    <nc r="B34" t="inlineStr">
      <is>
        <t xml:space="preserve">Koszty / dochody </t>
      </is>
    </nc>
    <ndxf>
      <font>
        <sz val="8"/>
        <color auto="1"/>
        <name val="Open Sans"/>
        <scheme val="none"/>
      </font>
      <alignment horizontal="left" vertical="center" wrapText="1" indent="1" readingOrder="0"/>
      <border outline="0">
        <left style="thin">
          <color indexed="9"/>
        </left>
        <top style="dotted">
          <color rgb="FF6F7779"/>
        </top>
      </border>
    </ndxf>
  </rcc>
  <rcc rId="1303" sId="17" odxf="1" dxf="1">
    <nc r="C34" t="inlineStr">
      <is>
        <t xml:space="preserve">Total costs/Total income </t>
      </is>
    </nc>
    <ndxf>
      <font>
        <sz val="8"/>
        <color auto="1"/>
        <name val="Open Sans"/>
        <scheme val="none"/>
      </font>
      <alignment horizontal="left" vertical="center" wrapText="1" indent="1" readingOrder="0"/>
      <border outline="0">
        <left style="thin">
          <color indexed="9"/>
        </left>
      </border>
    </ndxf>
  </rcc>
  <rcc rId="1304" sId="17" odxf="1" dxf="1" numFmtId="14">
    <nc r="D34">
      <v>0.46800000000000003</v>
    </nc>
    <ndxf>
      <font>
        <sz val="8"/>
        <color auto="1"/>
        <name val="Open Sans"/>
        <scheme val="none"/>
      </font>
      <numFmt numFmtId="168" formatCode="0.0%"/>
      <alignment vertical="center" readingOrder="0"/>
      <border outline="0">
        <top style="dotted">
          <color rgb="FF6F7779"/>
        </top>
      </border>
    </ndxf>
  </rcc>
  <rcc rId="1305" sId="17" odxf="1" dxf="1" numFmtId="14">
    <nc r="E34">
      <v>0.44600000000000001</v>
    </nc>
    <ndxf>
      <font>
        <sz val="8"/>
        <color auto="1"/>
        <name val="Open Sans"/>
        <scheme val="none"/>
      </font>
      <numFmt numFmtId="168" formatCode="0.0%"/>
      <alignment vertical="center" readingOrder="0"/>
      <border outline="0">
        <top style="dotted">
          <color rgb="FF6F7779"/>
        </top>
      </border>
    </ndxf>
  </rcc>
  <rcc rId="1306" sId="17" odxf="1" dxf="1" numFmtId="14">
    <nc r="F34">
      <v>0.435</v>
    </nc>
    <ndxf>
      <font>
        <sz val="8"/>
        <color auto="1"/>
        <name val="Open Sans"/>
        <scheme val="none"/>
      </font>
      <numFmt numFmtId="168" formatCode="0.0%"/>
      <alignment vertical="center" readingOrder="0"/>
      <border outline="0">
        <top style="dotted">
          <color rgb="FF6F7779"/>
        </top>
      </border>
    </ndxf>
  </rcc>
  <rcc rId="1307" sId="17" odxf="1" dxf="1" numFmtId="14">
    <nc r="G34">
      <v>0.434</v>
    </nc>
    <ndxf>
      <font>
        <sz val="8"/>
        <color auto="1"/>
        <name val="Open Sans"/>
        <scheme val="none"/>
      </font>
      <numFmt numFmtId="168" formatCode="0.0%"/>
      <alignment vertical="center" readingOrder="0"/>
      <border outline="0">
        <top style="dotted">
          <color rgb="FF6F7779"/>
        </top>
      </border>
    </ndxf>
  </rcc>
  <rcc rId="1308" sId="17" odxf="1" dxf="1" numFmtId="14">
    <nc r="H34">
      <v>0.48899999999999999</v>
    </nc>
    <ndxf>
      <font>
        <sz val="8"/>
        <color auto="1"/>
        <name val="Open Sans"/>
        <scheme val="none"/>
      </font>
      <numFmt numFmtId="168" formatCode="0.0%"/>
      <alignment vertical="center" readingOrder="0"/>
      <border outline="0">
        <top style="dotted">
          <color rgb="FF6F7779"/>
        </top>
      </border>
    </ndxf>
  </rcc>
  <rcc rId="1309" sId="17" odxf="1" dxf="1" numFmtId="14">
    <nc r="I34">
      <v>0.45200000000000001</v>
    </nc>
    <ndxf>
      <font>
        <sz val="8"/>
        <color auto="1"/>
        <name val="Open Sans"/>
        <scheme val="none"/>
      </font>
      <numFmt numFmtId="168" formatCode="0.0%"/>
      <alignment vertical="center" readingOrder="0"/>
      <border outline="0">
        <top style="dotted">
          <color rgb="FF6F7779"/>
        </top>
      </border>
    </ndxf>
  </rcc>
  <rcc rId="1310" sId="17" odxf="1" dxf="1" numFmtId="14">
    <nc r="J34">
      <v>0.45</v>
    </nc>
    <ndxf>
      <font>
        <sz val="8"/>
        <color auto="1"/>
        <name val="Open Sans"/>
        <scheme val="none"/>
      </font>
      <numFmt numFmtId="168" formatCode="0.0%"/>
      <alignment vertical="center" readingOrder="0"/>
      <border outline="0">
        <top style="dotted">
          <color rgb="FF6F7779"/>
        </top>
      </border>
    </ndxf>
  </rcc>
  <rcc rId="1311" sId="17" odxf="1" dxf="1" numFmtId="14">
    <nc r="K34">
      <v>0.432</v>
    </nc>
    <ndxf>
      <font>
        <sz val="8"/>
        <color auto="1"/>
        <name val="Open Sans"/>
        <scheme val="none"/>
      </font>
      <numFmt numFmtId="168" formatCode="0.0%"/>
      <alignment vertical="center" readingOrder="0"/>
      <border outline="0">
        <top style="dotted">
          <color rgb="FF6F7779"/>
        </top>
      </border>
    </ndxf>
  </rcc>
  <rcc rId="1312" sId="17" odxf="1" dxf="1" numFmtId="14">
    <nc r="L34">
      <v>0.55100000000000005</v>
    </nc>
    <ndxf>
      <font>
        <sz val="8"/>
        <color auto="1"/>
        <name val="Open Sans"/>
        <scheme val="none"/>
      </font>
      <numFmt numFmtId="168" formatCode="0.0%"/>
      <alignment vertical="center" readingOrder="0"/>
      <border outline="0">
        <top style="dotted">
          <color rgb="FF6F7779"/>
        </top>
      </border>
    </ndxf>
  </rcc>
  <rcc rId="1313" sId="17" odxf="1" dxf="1" numFmtId="14">
    <nc r="M34">
      <v>0.48699999999999999</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1314" sId="17" odxf="1" dxf="1" numFmtId="14">
    <nc r="N34">
      <v>0.45700000000000002</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1315" sId="17" odxf="1" dxf="1" numFmtId="14">
    <nc r="O34">
      <v>0.47199999999999998</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1316" sId="17" odxf="1" dxf="1" numFmtId="14">
    <nc r="P34">
      <v>0.56299999999999994</v>
    </nc>
    <ndxf>
      <font>
        <sz val="8"/>
        <color auto="1"/>
        <name val="Open Sans"/>
        <scheme val="none"/>
      </font>
      <numFmt numFmtId="168" formatCode="0.0%"/>
      <alignment vertical="center" readingOrder="0"/>
      <border outline="0">
        <top style="dotted">
          <color rgb="FF6F7779"/>
        </top>
      </border>
    </ndxf>
  </rcc>
  <rcc rId="1317" sId="17" odxf="1" dxf="1" numFmtId="14">
    <nc r="Q34">
      <v>0.51500000000000001</v>
    </nc>
    <ndxf>
      <font>
        <sz val="8"/>
        <color auto="1"/>
        <name val="Open Sans"/>
        <scheme val="none"/>
      </font>
      <numFmt numFmtId="168" formatCode="0.0%"/>
      <alignment vertical="center" readingOrder="0"/>
      <border outline="0">
        <top style="dotted">
          <color rgb="FF6F7779"/>
        </top>
      </border>
    </ndxf>
  </rcc>
  <rcc rId="1318" sId="17" odxf="1" dxf="1" numFmtId="14">
    <nc r="R34">
      <v>0.48899999999999999</v>
    </nc>
    <ndxf>
      <font>
        <sz val="8"/>
        <color auto="1"/>
        <name val="Open Sans"/>
        <scheme val="none"/>
      </font>
      <numFmt numFmtId="168" formatCode="0.0%"/>
      <alignment vertical="center" readingOrder="0"/>
      <border outline="0">
        <top style="dotted">
          <color rgb="FF6F7779"/>
        </top>
      </border>
    </ndxf>
  </rcc>
  <rfmt sheetId="17" s="1" sqref="S34" start="0" length="0">
    <dxf>
      <font>
        <sz val="8"/>
        <color auto="1"/>
        <name val="Open Sans"/>
        <scheme val="none"/>
      </font>
      <numFmt numFmtId="168" formatCode="0.0%"/>
      <alignment vertical="center" readingOrder="0"/>
      <border outline="0">
        <top style="dotted">
          <color rgb="FF6F7779"/>
        </top>
      </border>
    </dxf>
  </rfmt>
  <rcc rId="1319" sId="17" odxf="1" s="1" dxf="1" numFmtId="14">
    <nc r="T34">
      <v>0.48899999999999999</v>
    </nc>
    <ndxf>
      <font>
        <sz val="8"/>
        <color auto="1"/>
        <name val="Open Sans"/>
        <scheme val="none"/>
      </font>
      <numFmt numFmtId="168" formatCode="0.0%"/>
      <alignment vertical="center" readingOrder="0"/>
      <border outline="0">
        <top style="dotted">
          <color rgb="FF6F7779"/>
        </top>
      </border>
    </ndxf>
  </rcc>
  <rcc rId="1320" sId="17" odxf="1" s="1" dxf="1" numFmtId="14">
    <nc r="U34">
      <v>0.51500000000000001</v>
    </nc>
    <ndxf>
      <font>
        <sz val="8"/>
        <color auto="1"/>
        <name val="Open Sans"/>
        <scheme val="none"/>
      </font>
      <numFmt numFmtId="168" formatCode="0.0%"/>
      <alignment vertical="center" readingOrder="0"/>
      <border outline="0">
        <top style="dotted">
          <color rgb="FF6F7779"/>
        </top>
      </border>
    </ndxf>
  </rcc>
  <rcc rId="1321" sId="17" odxf="1" s="1" dxf="1" numFmtId="14">
    <nc r="V34">
      <v>0.48699999999999999</v>
    </nc>
    <ndxf>
      <font>
        <sz val="8"/>
        <color auto="1"/>
        <name val="Open Sans"/>
        <scheme val="none"/>
      </font>
      <numFmt numFmtId="168" formatCode="0.0%"/>
      <alignment vertical="center" readingOrder="0"/>
      <border outline="0">
        <top style="dotted">
          <color rgb="FF6F7779"/>
        </top>
      </border>
    </ndxf>
  </rcc>
  <rcc rId="1322" sId="17" odxf="1" s="1" dxf="1" numFmtId="14">
    <nc r="W34">
      <v>0.48899999999999999</v>
    </nc>
    <ndxf>
      <font>
        <sz val="8"/>
        <color auto="1"/>
        <name val="Open Sans"/>
        <scheme val="none"/>
      </font>
      <numFmt numFmtId="168" formatCode="0.0%"/>
      <alignment vertical="center" readingOrder="0"/>
      <border outline="0">
        <top style="dotted">
          <color rgb="FF6F7779"/>
        </top>
      </border>
    </ndxf>
  </rcc>
  <rcc rId="1323" sId="17" odxf="1" s="1" dxf="1" numFmtId="14">
    <nc r="X34">
      <v>0.45700000000000002</v>
    </nc>
    <ndxf>
      <font>
        <sz val="8"/>
        <color auto="1"/>
        <name val="Open Sans"/>
        <scheme val="none"/>
      </font>
      <numFmt numFmtId="168" formatCode="0.0%"/>
      <alignment vertical="center" readingOrder="0"/>
      <border outline="0">
        <top style="dotted">
          <color rgb="FF6F7779"/>
        </top>
      </border>
    </ndxf>
  </rcc>
  <rcc rId="1324" sId="17" odxf="1" s="1" dxf="1" numFmtId="14">
    <nc r="Y34">
      <v>0.47299999999999998</v>
    </nc>
    <ndxf>
      <font>
        <sz val="8"/>
        <color auto="1"/>
        <name val="Open Sans"/>
        <scheme val="none"/>
      </font>
      <numFmt numFmtId="168" formatCode="0.0%"/>
      <alignment vertical="center" readingOrder="0"/>
      <border outline="0">
        <top style="dotted">
          <color rgb="FF6F7779"/>
        </top>
      </border>
    </ndxf>
  </rcc>
  <rcc rId="1325" sId="17" odxf="1" s="1" dxf="1" numFmtId="14">
    <nc r="Z34">
      <v>0.432</v>
    </nc>
    <ndxf>
      <font>
        <sz val="8"/>
        <color auto="1"/>
        <name val="Open Sans"/>
        <scheme val="none"/>
      </font>
      <numFmt numFmtId="168" formatCode="0.0%"/>
      <alignment vertical="center" readingOrder="0"/>
      <border outline="0">
        <top style="dotted">
          <color rgb="FF6F7779"/>
        </top>
      </border>
    </ndxf>
  </rcc>
  <rcc rId="1326" sId="17" odxf="1" s="1" dxf="1" numFmtId="14">
    <nc r="AA34">
      <v>0.56299999999999994</v>
    </nc>
    <ndxf>
      <font>
        <sz val="8"/>
        <color auto="1"/>
        <name val="Open Sans"/>
        <scheme val="none"/>
      </font>
      <numFmt numFmtId="168" formatCode="0.0%"/>
      <fill>
        <patternFill patternType="solid">
          <bgColor rgb="FFDEEDF2"/>
        </patternFill>
      </fill>
      <alignment vertical="center" readingOrder="0"/>
      <border outline="0">
        <top style="dotted">
          <color rgb="FF6F7779"/>
        </top>
      </border>
    </ndxf>
  </rcc>
  <rcc rId="1327" sId="17" odxf="1" s="1" dxf="1" numFmtId="14">
    <nc r="AB34">
      <v>0.55100000000000005</v>
    </nc>
    <ndxf>
      <font>
        <sz val="8"/>
        <color auto="1"/>
        <name val="Open Sans"/>
        <scheme val="none"/>
      </font>
      <numFmt numFmtId="168" formatCode="0.0%"/>
      <alignment vertical="center" readingOrder="0"/>
      <border outline="0">
        <top style="dotted">
          <color rgb="FF6F7779"/>
        </top>
      </border>
    </ndxf>
  </rcc>
  <rcc rId="1328" sId="17" odxf="1" s="1" dxf="1" numFmtId="14">
    <nc r="AC34">
      <v>0.45700000000000002</v>
    </nc>
    <ndxf>
      <font>
        <sz val="8"/>
        <color auto="1"/>
        <name val="Open Sans"/>
        <scheme val="none"/>
      </font>
      <numFmt numFmtId="168" formatCode="0.0%"/>
      <alignment vertical="center" readingOrder="0"/>
      <border outline="0">
        <top style="dotted">
          <color rgb="FF6F7779"/>
        </top>
      </border>
    </ndxf>
  </rcc>
  <rcc rId="1329" sId="17" odxf="1" dxf="1">
    <nc r="B35" t="inlineStr">
      <is>
        <t>Wynik z tytułu odsetek / dochody ogółem</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330" sId="17" odxf="1" dxf="1">
    <nc r="C35" t="inlineStr">
      <is>
        <t>Net interest income/Total income</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331" sId="17" odxf="1" dxf="1" numFmtId="14">
    <nc r="D35">
      <v>0.67800000000000005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2" sId="17" odxf="1" dxf="1" numFmtId="14">
    <nc r="E35">
      <v>0.67200000000000004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3" sId="17" odxf="1" dxf="1" numFmtId="14">
    <nc r="F35">
      <v>0.67700000000000005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4" sId="17" odxf="1" dxf="1" numFmtId="14">
    <nc r="G35">
      <v>0.68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5" sId="17" odxf="1" dxf="1" numFmtId="14">
    <nc r="H35">
      <v>0.7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6" sId="17" odxf="1" dxf="1" numFmtId="14">
    <nc r="I35">
      <v>0.66800000000000004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7" sId="17" odxf="1" dxf="1" numFmtId="14">
    <nc r="J35">
      <v>0.67600000000000005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8" sId="17" odxf="1" dxf="1" numFmtId="14">
    <nc r="K35">
      <v>0.65900000000000003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39" sId="17" odxf="1" dxf="1" numFmtId="14">
    <nc r="L35">
      <v>0.71699999999999997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0" sId="17" odxf="1" dxf="1" numFmtId="14">
    <nc r="M35">
      <v>0.69799999999999995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41" sId="17" odxf="1" dxf="1" numFmtId="14">
    <nc r="N35">
      <v>0.69699999999999995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42" sId="17" odxf="1" dxf="1" numFmtId="14">
    <nc r="O35">
      <v>0.69499999999999995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43" sId="17" odxf="1" dxf="1" numFmtId="14">
    <nc r="P35">
      <v>0.72799999999999998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4" sId="17" odxf="1" dxf="1" numFmtId="14">
    <nc r="Q35">
      <v>0.71499999999999997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5" sId="17" odxf="1" dxf="1" numFmtId="14">
    <nc r="R35">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17" s="1" sqref="S35"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cc rId="1346" sId="17" odxf="1" s="1" dxf="1" numFmtId="14">
    <nc r="T35">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7" sId="17" odxf="1" s="1" dxf="1" numFmtId="14">
    <nc r="U35">
      <v>0.71499999999999997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8" sId="17" odxf="1" s="1" dxf="1" numFmtId="14">
    <nc r="V35">
      <v>0.69799999999999995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49" sId="17" odxf="1" s="1" dxf="1" numFmtId="14">
    <nc r="W35">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0" sId="17" odxf="1" s="1" dxf="1" numFmtId="14">
    <nc r="X35">
      <v>0.69699999999999995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1" sId="17" odxf="1" s="1" dxf="1" numFmtId="14">
    <nc r="Y35">
      <v>0.69399999999999995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2" sId="17" odxf="1" s="1" dxf="1" numFmtId="14">
    <nc r="Z35">
      <v>0.65900000000000003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3" sId="17" odxf="1" s="1" dxf="1" numFmtId="14">
    <nc r="AA35">
      <v>0.72799999999999998</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354" sId="17" odxf="1" s="1" dxf="1" numFmtId="14">
    <nc r="AB35">
      <v>0.71699999999999997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5" sId="17" odxf="1" s="1" dxf="1" numFmtId="14">
    <nc r="AC35">
      <v>0.69699999999999995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56" sId="17" odxf="1" dxf="1">
    <nc r="B36" t="inlineStr">
      <is>
        <t xml:space="preserve">Marża odsetkowa netto 1)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357" sId="17" odxf="1" dxf="1">
    <nc r="C36" t="inlineStr">
      <is>
        <t>Net interest margin 1)</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358" sId="17" odxf="1" dxf="1" numFmtId="14">
    <nc r="D36">
      <v>3.7400000000000003E-2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59" sId="17" odxf="1" dxf="1" numFmtId="14">
    <nc r="E36">
      <v>3.78E-2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0" sId="17" odxf="1" dxf="1" numFmtId="14">
    <nc r="F36">
      <v>3.7999999999999999E-2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1" sId="17" odxf="1" dxf="1" numFmtId="14">
    <nc r="G36">
      <v>3.8300000000000001E-2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2" sId="17" odxf="1" dxf="1" numFmtId="14">
    <nc r="H36">
      <v>3.95E-2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3" sId="17" odxf="1" dxf="1" numFmtId="14">
    <nc r="I36">
      <v>3.85E-2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4" sId="17" odxf="1" dxf="1" numFmtId="14">
    <nc r="J36">
      <v>3.7699999999999997E-2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5" sId="17" odxf="1" dxf="1" numFmtId="14">
    <nc r="K36">
      <v>3.6600000000000001E-2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6" sId="17" odxf="1" dxf="1" numFmtId="14">
    <nc r="L36">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67" sId="17" odxf="1" dxf="1" numFmtId="14">
    <nc r="M36">
      <v>3.4799999999999998E-2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368" sId="17" odxf="1" dxf="1" numFmtId="14">
    <nc r="N36">
      <v>3.5000000000000003E-2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369" sId="17" odxf="1" dxf="1" numFmtId="14">
    <nc r="O36">
      <v>3.4599999999999999E-2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370" sId="17" odxf="1" dxf="1" numFmtId="14">
    <nc r="P36">
      <v>3.32E-2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1" sId="17" odxf="1" dxf="1" numFmtId="14">
    <nc r="Q36">
      <v>3.09E-2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2" sId="17" odxf="1" dxf="1" numFmtId="14">
    <nc r="R36">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17" s="1" sqref="S36"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cc rId="1373" sId="17" odxf="1" s="1" dxf="1" numFmtId="14">
    <nc r="T36">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4" sId="17" odxf="1" s="1" dxf="1" numFmtId="14">
    <nc r="U36">
      <v>3.1E-2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5" sId="17" odxf="1" s="1" dxf="1" numFmtId="14">
    <nc r="V36">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6" sId="17" odxf="1" s="1" dxf="1" numFmtId="14">
    <nc r="W36">
      <v>0.03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7" sId="17" odxf="1" s="1" dxf="1" numFmtId="14">
    <nc r="X36">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8" sId="17" odxf="1" s="1" dxf="1" numFmtId="14">
    <nc r="Y36">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79" sId="17" odxf="1" s="1" dxf="1" numFmtId="14">
    <nc r="Z36">
      <v>3.6999999999999998E-2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80" sId="17" odxf="1" s="1" dxf="1" numFmtId="14">
    <nc r="AA36">
      <v>3.32E-2</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1381" sId="17" odxf="1" s="1" dxf="1" numFmtId="14">
    <nc r="AB36">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82" sId="17" odxf="1" s="1" dxf="1" numFmtId="14">
    <nc r="AC36">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383" sId="17" odxf="1" dxf="1">
    <nc r="B37" t="inlineStr">
      <is>
        <t xml:space="preserve">Wynik z tytułu prowizji / dochody ogółem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384" sId="17" odxf="1" dxf="1">
    <nc r="C37" t="inlineStr">
      <is>
        <t xml:space="preserve">Net commission income/Total income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385" sId="17" odxf="1" dxf="1" numFmtId="14">
    <nc r="D37">
      <v>0.25700000000000001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86" sId="17" odxf="1" dxf="1" numFmtId="14">
    <nc r="E37">
      <v>0.255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87" sId="17" odxf="1" dxf="1" numFmtId="14">
    <nc r="F37">
      <v>0.26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88" sId="17" odxf="1" dxf="1" numFmtId="14">
    <nc r="G37">
      <v>0.25900000000000001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389" sId="17" odxf="1" dxf="1" numFmtId="14">
    <nc r="H37">
      <v>0.25900000000000001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0" sId="17" odxf="1" dxf="1" numFmtId="14">
    <nc r="I37">
      <v>0.25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1" sId="17" odxf="1" dxf="1" numFmtId="14">
    <nc r="J37">
      <v>0.251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2" sId="17" odxf="1" dxf="1" numFmtId="14">
    <nc r="K37">
      <v>0.23599999999999999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3" sId="17" odxf="1" dxf="1" numFmtId="14">
    <nc r="L37">
      <v>0.23200000000000001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4" sId="17" odxf="1" dxf="1" numFmtId="14">
    <nc r="M37">
      <v>0.22500000000000001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95" sId="17" odxf="1" dxf="1" numFmtId="14">
    <nc r="N37">
      <v>0.224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96" sId="17" odxf="1" dxf="1" numFmtId="14">
    <nc r="O37">
      <v>0.22500000000000001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397" sId="17" odxf="1" dxf="1" numFmtId="14">
    <nc r="P37">
      <v>0.23899999999999999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8" sId="17" odxf="1" dxf="1" numFmtId="14">
    <nc r="Q37">
      <v>0.23799999999999999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399" sId="17" odxf="1" dxf="1" numFmtId="14">
    <nc r="R37">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7"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400" sId="17" odxf="1" s="1" dxf="1" numFmtId="14">
    <nc r="T37">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1" sId="17" odxf="1" s="1" dxf="1" numFmtId="14">
    <nc r="U37">
      <v>0.23799999999999999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2" sId="17" odxf="1" s="1" dxf="1" numFmtId="14">
    <nc r="V37">
      <v>0.22500000000000001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3" sId="17" odxf="1" s="1" dxf="1" numFmtId="14">
    <nc r="W37">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4" sId="17" odxf="1" s="1" dxf="1" numFmtId="14">
    <nc r="X37">
      <v>0.224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5" sId="17" odxf="1" s="1" dxf="1" numFmtId="14">
    <nc r="Y37">
      <v>0.224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6" sId="17" odxf="1" s="1" dxf="1" numFmtId="14">
    <nc r="Z37">
      <v>0.23599999999999999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07" sId="17" odxf="1" s="1" dxf="1" numFmtId="14">
    <nc r="AA37">
      <v>0.23899999999999999</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408" sId="17" odxf="1" s="1" dxf="1" numFmtId="14">
    <nc r="AB37">
      <v>0.23200000000000001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09" sId="17" odxf="1" s="1" dxf="1" numFmtId="14">
    <nc r="AC37">
      <v>0.224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10" sId="17" odxf="1" dxf="1">
    <nc r="B38" t="inlineStr">
      <is>
        <t xml:space="preserve">Należności netto od klientów / zobowiązania wobec klientów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411" sId="17" odxf="1" dxf="1">
    <nc r="C38" t="inlineStr">
      <is>
        <t xml:space="preserve">Customer net loans/Customer deposits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412" sId="17" odxf="1" dxf="1" numFmtId="14">
    <nc r="D38">
      <v>0.95899999999999996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13" sId="17" odxf="1" dxf="1" numFmtId="14">
    <nc r="E38">
      <v>0.96299999999999997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14" sId="17" odxf="1" dxf="1" numFmtId="14">
    <nc r="F38">
      <v>0.95899999999999996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15" sId="17" odxf="1" dxf="1" numFmtId="14">
    <nc r="G38">
      <v>0.96699999999999997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16" sId="17" odxf="1" dxf="1" numFmtId="14">
    <nc r="H38">
      <v>0.96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17" sId="17" odxf="1" dxf="1" numFmtId="14">
    <nc r="I38">
      <v>0.93600000000000005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18" sId="17" odxf="1" dxf="1" numFmtId="14">
    <nc r="J38">
      <v>0.93500000000000005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19" sId="17" odxf="1" dxf="1" numFmtId="14">
    <nc r="K38">
      <v>0.91900000000000004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0" sId="17" odxf="1" dxf="1" numFmtId="14">
    <nc r="L38">
      <v>0.93899999999999995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1" sId="17" odxf="1" dxf="1" numFmtId="14">
    <nc r="M38">
      <v>0.94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22" sId="17" odxf="1" dxf="1" numFmtId="14">
    <nc r="N38">
      <v>0.95199999999999996</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23" sId="17" odxf="1" dxf="1" numFmtId="14">
    <nc r="O38">
      <v>0.91600000000000004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24" sId="17" odxf="1" dxf="1" numFmtId="14">
    <nc r="P38">
      <v>0.93600000000000005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5" sId="17" odxf="1" dxf="1" numFmtId="14">
    <nc r="Q38">
      <v>0.86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6" sId="17" odxf="1" dxf="1" numFmtId="14">
    <nc r="R38">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8"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427" sId="17" odxf="1" s="1" dxf="1" numFmtId="14">
    <nc r="T38">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8" sId="17" odxf="1" s="1" dxf="1" numFmtId="14">
    <nc r="U38">
      <v>0.86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29" sId="17" odxf="1" s="1" dxf="1" numFmtId="14">
    <nc r="V38">
      <v>0.94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30" sId="17" odxf="1" s="1" dxf="1" numFmtId="14">
    <nc r="W38">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31" sId="17" odxf="1" s="1" dxf="1" numFmtId="14">
    <nc r="X38">
      <v>0.95199999999999996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32" sId="17" odxf="1" s="1" dxf="1" numFmtId="14">
    <nc r="Y38">
      <v>0.91600000000000004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33" sId="17" odxf="1" s="1" dxf="1" numFmtId="14">
    <nc r="Z38">
      <v>0.91900000000000004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34" sId="17" odxf="1" s="1" dxf="1" numFmtId="14">
    <nc r="AA38">
      <v>0.93600000000000005</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435" sId="17" odxf="1" s="1" dxf="1" numFmtId="14">
    <nc r="AB38">
      <v>0.93899999999999995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36" sId="17" odxf="1" s="1" dxf="1" numFmtId="14">
    <nc r="AC38">
      <v>0.95199999999999996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37" sId="17" odxf="1" dxf="1">
    <nc r="B39" t="inlineStr">
      <is>
        <t>Wskaźnik kredytów niepracujących 2)</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438" sId="17" odxf="1" dxf="1">
    <nc r="C39" t="inlineStr">
      <is>
        <t>NPL ratio 2)</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439" sId="17" odxf="1" dxf="1" numFmtId="14">
    <nc r="D39">
      <v>6.4000000000000001E-2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40" sId="17" odxf="1" dxf="1" numFmtId="14">
    <nc r="E39">
      <v>5.8999999999999997E-2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41" sId="17" odxf="1" dxf="1" numFmtId="14">
    <nc r="F39">
      <v>0.06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42" sId="17" odxf="1" dxf="1" numFmtId="14">
    <nc r="G39">
      <v>5.8000000000000003E-2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43" sId="17" odxf="1" dxf="1" numFmtId="14">
    <nc r="H39">
      <v>0.06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44" sId="17" odxf="1" dxf="1" numFmtId="14">
    <nc r="I39">
      <v>5.8000000000000003E-2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45" sId="17" odxf="1" dxf="1" numFmtId="14">
    <nc r="J39">
      <v>5.5E-2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46" sId="17" odxf="1" dxf="1" numFmtId="14">
    <nc r="K39">
      <v>4.5999999999999999E-2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47" sId="17" odxf="1" dxf="1" numFmtId="14">
    <nc r="L39">
      <v>4.8000000000000001E-2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48" sId="17" odxf="1" dxf="1" numFmtId="14">
    <nc r="M39">
      <v>4.7E-2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49" sId="17" odxf="1" dxf="1" numFmtId="14">
    <nc r="N39">
      <v>0.05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50" sId="17" odxf="1" dxf="1" numFmtId="14">
    <nc r="O39">
      <v>5.1999999999999998E-2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51" sId="17" odxf="1" dxf="1" numFmtId="14">
    <nc r="P39">
      <v>5.1999999999999998E-2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2" sId="17" odxf="1" dxf="1" numFmtId="14">
    <nc r="Q39">
      <v>5.6000000000000001E-2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3" sId="17" odxf="1" dxf="1" numFmtId="14">
    <nc r="R39">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9"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454" sId="17" odxf="1" s="1" dxf="1" numFmtId="14">
    <nc r="T39">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5" sId="17" odxf="1" s="1" dxf="1" numFmtId="14">
    <nc r="U39">
      <v>5.6000000000000001E-2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6" sId="17" odxf="1" s="1" dxf="1" numFmtId="14">
    <nc r="V39">
      <v>4.7E-2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7" sId="17" odxf="1" s="1" dxf="1" numFmtId="14">
    <nc r="W39">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8" sId="17" odxf="1" s="1" dxf="1" numFmtId="14">
    <nc r="X39">
      <v>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59" sId="17" odxf="1" s="1" dxf="1" numFmtId="14">
    <nc r="Y39">
      <v>5.1999999999999998E-2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60" sId="17" odxf="1" s="1" dxf="1" numFmtId="14">
    <nc r="Z39">
      <v>4.5999999999999999E-2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61" sId="17" odxf="1" s="1" dxf="1" numFmtId="14">
    <nc r="AA39">
      <v>5.1999999999999998E-2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462" sId="17" odxf="1" s="1" dxf="1" numFmtId="14">
    <nc r="AB39">
      <v>4.8000000000000001E-2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63" sId="17" odxf="1" s="1" dxf="1" numFmtId="14">
    <nc r="AC39">
      <v>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64" sId="17" odxf="1" dxf="1">
    <nc r="B40" t="inlineStr">
      <is>
        <t>Wskaźnik pokrycia rezerwą kredytów niepracujących 3)</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465" sId="17" odxf="1" dxf="1">
    <nc r="C40" t="inlineStr">
      <is>
        <t>NPL coverage ratio 3)</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466" sId="17" odxf="1" dxf="1" numFmtId="14">
    <nc r="D40">
      <v>0.59199999999999997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67" sId="17" odxf="1" dxf="1" numFmtId="14">
    <nc r="E40">
      <v>0.621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68" sId="17" odxf="1" dxf="1" numFmtId="14">
    <nc r="F40">
      <v>0.628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69" sId="17" odxf="1" dxf="1" numFmtId="14">
    <nc r="G40">
      <v>0.63100000000000001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70" sId="17" odxf="1" dxf="1" numFmtId="14">
    <nc r="H40">
      <v>0.627</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1" sId="17" odxf="1" dxf="1" numFmtId="14">
    <nc r="I40">
      <v>0.63800000000000001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2" sId="17" odxf="1" dxf="1" numFmtId="14">
    <nc r="J40">
      <v>0.63600000000000001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3" sId="17" odxf="1" dxf="1" numFmtId="14">
    <nc r="K40">
      <v>0.50900000000000001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4" sId="17" odxf="1" dxf="1" numFmtId="14">
    <nc r="L40">
      <v>0.52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5" sId="17" odxf="1" dxf="1" numFmtId="14">
    <nc r="M40">
      <v>0.53600000000000003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76" sId="17" odxf="1" dxf="1" numFmtId="14">
    <nc r="N40">
      <v>0.53400000000000003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77" sId="17" odxf="1" dxf="1" numFmtId="14">
    <nc r="O40">
      <v>0.53800000000000003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478" sId="17" odxf="1" dxf="1" numFmtId="14">
    <nc r="P40">
      <v>0.53900000000000003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79" sId="17" odxf="1" dxf="1" numFmtId="14">
    <nc r="Q40">
      <v>0.54800000000000004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0" sId="17" odxf="1" dxf="1" numFmtId="14">
    <nc r="R40">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0"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481" sId="17" odxf="1" s="1" dxf="1" numFmtId="14">
    <nc r="T40">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2" sId="17" odxf="1" s="1" dxf="1" numFmtId="14">
    <nc r="U40">
      <v>0.54800000000000004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3" sId="17" odxf="1" s="1" dxf="1" numFmtId="14">
    <nc r="V40">
      <v>0.53600000000000003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4" sId="17" odxf="1" s="1" dxf="1" numFmtId="14">
    <nc r="W40">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5" sId="17" odxf="1" s="1" dxf="1" numFmtId="14">
    <nc r="X40">
      <v>0.53400000000000003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6" sId="17" odxf="1" s="1" dxf="1" numFmtId="14">
    <nc r="Y40">
      <v>0.53800000000000003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7" sId="17" odxf="1" s="1" dxf="1" numFmtId="14">
    <nc r="Z40">
      <v>0.50900000000000001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488" sId="17" odxf="1" s="1" dxf="1" numFmtId="14">
    <nc r="AA40">
      <v>0.53900000000000003</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489" sId="17" odxf="1" s="1" dxf="1" numFmtId="14">
    <nc r="AB40">
      <v>0.52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90" sId="17" odxf="1" s="1" dxf="1" numFmtId="14">
    <nc r="AC40">
      <v>0.53400000000000003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491" sId="17" odxf="1" dxf="1">
    <nc r="B41" t="inlineStr">
      <is>
        <t>Wskaźnik kosztu ryzyka kredytowego 4)</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492" sId="17" odxf="1" dxf="1">
    <nc r="C41" t="inlineStr">
      <is>
        <t>Credit risk ratio 4)</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493" sId="17" odxf="1" dxf="1" numFmtId="14">
    <nc r="D41">
      <v>7.3000000000000001E-3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494" sId="17" odxf="1" dxf="1" numFmtId="14">
    <nc r="E41">
      <v>6.6E-3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495" sId="17" odxf="1" dxf="1" numFmtId="14">
    <nc r="F41">
      <v>6.4000000000000003E-3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496" sId="17" odxf="1" dxf="1" numFmtId="14">
    <nc r="G41">
      <v>6.3E-3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497" sId="17" odxf="1" dxf="1" numFmtId="14">
    <nc r="H41">
      <v>6.6E-3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498" sId="17" odxf="1" dxf="1" numFmtId="14">
    <nc r="I41">
      <v>7.9000000000000008E-3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499" sId="17" odxf="1" dxf="1" numFmtId="14">
    <nc r="J41">
      <v>8.0000000000000002E-3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0" sId="17" odxf="1" dxf="1" numFmtId="14">
    <nc r="K41">
      <v>8.6E-3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1" sId="17" odxf="1" dxf="1" numFmtId="14">
    <nc r="L41">
      <v>8.0999999999999996E-3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2" sId="17" odxf="1" dxf="1" numFmtId="14">
    <nc r="M41">
      <v>8.8000000000000005E-3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503" sId="17" odxf="1" dxf="1" numFmtId="14">
    <nc r="N41">
      <v>9.1999999999999998E-3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504" sId="17" odxf="1" dxf="1" numFmtId="14">
    <nc r="O41">
      <v>8.5000000000000006E-3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505" sId="17" odxf="1" dxf="1" numFmtId="14">
    <nc r="P41">
      <v>9.5999999999999992E-3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6" sId="17" odxf="1" dxf="1" numFmtId="14">
    <nc r="Q41">
      <v>1.06E-2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7" sId="17" odxf="1" dxf="1" numFmtId="14">
    <nc r="R41">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1"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cc rId="1508" sId="17" odxf="1" s="1" dxf="1" numFmtId="14">
    <nc r="T41">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09" sId="17" odxf="1" s="1" dxf="1" numFmtId="14">
    <nc r="U41">
      <v>1.0999999999999999E-2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0" sId="17" odxf="1" s="1" dxf="1" numFmtId="14">
    <nc r="V41">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1" sId="17" odxf="1" s="1" dxf="1" numFmtId="14">
    <nc r="W41">
      <v>1.0999999999999999E-2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2" sId="17" odxf="1" s="1" dxf="1" numFmtId="14">
    <nc r="X41">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3" sId="17" odxf="1" s="1" dxf="1" numFmtId="14">
    <nc r="Y41">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4" sId="17" odxf="1" s="1" dxf="1" numFmtId="14">
    <nc r="Z41">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515" sId="17" odxf="1" s="1" dxf="1" numFmtId="14">
    <nc r="AA41">
      <v>9.5999999999999992E-3</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1516" sId="17" odxf="1" s="1" dxf="1" numFmtId="14">
    <nc r="AB41">
      <v>8.0999999999999996E-3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517" sId="17" odxf="1" s="1" dxf="1" numFmtId="14">
    <nc r="AC41">
      <v>9.1999999999999998E-3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518" sId="17" odxf="1" dxf="1">
    <nc r="B42" t="inlineStr">
      <is>
        <t xml:space="preserve">ROE (zwrot z kapitału) 5)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519" sId="17" odxf="1" dxf="1">
    <nc r="C42" t="inlineStr">
      <is>
        <t>ROE 5)</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520" sId="17" odxf="1" dxf="1" numFmtId="14">
    <nc r="D42">
      <v>0.115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21" sId="17" odxf="1" dxf="1" numFmtId="14">
    <nc r="E42">
      <v>0.11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22" sId="17" odxf="1" dxf="1" numFmtId="14">
    <nc r="F42">
      <v>0.11700000000000001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23" sId="17" odxf="1" dxf="1" numFmtId="14">
    <nc r="G42">
      <v>0.121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24" sId="17" odxf="1" dxf="1" numFmtId="14">
    <nc r="H42">
      <v>0.113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25" sId="17" odxf="1" dxf="1" numFmtId="14">
    <nc r="I42">
      <v>0.113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26" sId="17" odxf="1" dxf="1" numFmtId="14">
    <nc r="J42">
      <v>0.11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27" sId="17" odxf="1" dxf="1" numFmtId="14">
    <nc r="K42">
      <v>0.11899999999999999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28" sId="17" odxf="1" dxf="1" numFmtId="14">
    <nc r="L42">
      <v>0.104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29" sId="17" odxf="1" dxf="1" numFmtId="14">
    <nc r="M42">
      <v>0.10100000000000001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30" sId="17" odxf="1" dxf="1" numFmtId="14">
    <nc r="N42">
      <v>0.11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31" sId="17" odxf="1" dxf="1" numFmtId="14">
    <nc r="O42">
      <v>9.7000000000000003E-2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32" sId="17" odxf="1" dxf="1" numFmtId="14">
    <nc r="P42">
      <v>8.5000000000000006E-2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3" sId="17" odxf="1" dxf="1" numFmtId="14">
    <nc r="Q42">
      <v>7.0999999999999994E-2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4" sId="17" odxf="1" dxf="1" numFmtId="14">
    <nc r="R4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535" sId="17" odxf="1" s="1" dxf="1" numFmtId="14">
    <nc r="T4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6" sId="17" odxf="1" s="1" dxf="1" numFmtId="14">
    <nc r="U42">
      <v>7.0999999999999994E-2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7" sId="17" odxf="1" s="1" dxf="1" numFmtId="14">
    <nc r="V42">
      <v>0.10100000000000001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8" sId="17" odxf="1" s="1" dxf="1" numFmtId="14">
    <nc r="W4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39" sId="17" odxf="1" s="1" dxf="1" numFmtId="14">
    <nc r="X42">
      <v>0.11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40" sId="17" odxf="1" s="1" dxf="1" numFmtId="14">
    <nc r="Y42">
      <v>9.7000000000000003E-2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41" sId="17" odxf="1" s="1" dxf="1" numFmtId="14">
    <nc r="Z42">
      <v>0.11899999999999999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42" sId="17" odxf="1" s="1" dxf="1" numFmtId="14">
    <nc r="AA42">
      <v>8.5000000000000006E-2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543" sId="17" odxf="1" s="1" dxf="1" numFmtId="14">
    <nc r="AB42">
      <v>0.104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44" sId="17" odxf="1" s="1" dxf="1" numFmtId="14">
    <nc r="AC42">
      <v>0.11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45" sId="17" odxf="1" dxf="1">
    <nc r="B43" t="inlineStr">
      <is>
        <t>ROTE (zwrot z kapitału materialnego) 6)</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546" sId="17" odxf="1" dxf="1">
    <nc r="C43" t="inlineStr">
      <is>
        <t>ROTE 6)</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547" sId="17" odxf="1" dxf="1" numFmtId="14">
    <nc r="D43">
      <v>0.13300000000000001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48" sId="17" odxf="1" dxf="1" numFmtId="14">
    <nc r="E43">
      <v>0.128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49" sId="17" odxf="1" dxf="1" numFmtId="14">
    <nc r="F43">
      <v>0.13700000000000001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50" sId="17" odxf="1" dxf="1" numFmtId="14">
    <nc r="G43">
      <v>0.14199999999999999</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51" sId="17" odxf="1" dxf="1" numFmtId="14">
    <nc r="H43">
      <v>0.13300000000000001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52" sId="17" odxf="1" dxf="1" numFmtId="14">
    <nc r="I43">
      <v>0.13300000000000001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53" sId="17" odxf="1" dxf="1" numFmtId="14">
    <nc r="J43">
      <v>0.13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54" sId="17" odxf="1" dxf="1" numFmtId="14">
    <nc r="K43">
      <v>0.14199999999999999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55" sId="17" odxf="1" dxf="1" numFmtId="14">
    <nc r="L43">
      <v>0.124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56" sId="17" odxf="1" dxf="1" numFmtId="14">
    <nc r="M43">
      <v>0.121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57" sId="17" odxf="1" dxf="1" numFmtId="14">
    <nc r="N43">
      <v>0.13200000000000001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58" sId="17" odxf="1" dxf="1" numFmtId="14">
    <nc r="O43">
      <v>0.11700000000000001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59" sId="17" odxf="1" dxf="1" numFmtId="14">
    <nc r="P43">
      <v>0.10100000000000001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0" sId="17" odxf="1" dxf="1" numFmtId="14">
    <nc r="Q43">
      <v>8.5999999999999993E-2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1" sId="17" odxf="1" dxf="1" numFmtId="14">
    <nc r="R43">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3"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562" sId="17" odxf="1" s="1" dxf="1" numFmtId="14">
    <nc r="T43">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3" sId="17" odxf="1" s="1" dxf="1" numFmtId="14">
    <nc r="U43">
      <v>8.5999999999999993E-2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4" sId="17" odxf="1" s="1" dxf="1" numFmtId="14">
    <nc r="V43">
      <v>0.121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5" sId="17" odxf="1" s="1" dxf="1" numFmtId="14">
    <nc r="W43">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6" sId="17" odxf="1" s="1" dxf="1" numFmtId="14">
    <nc r="X43">
      <v>0.13200000000000001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7" sId="17" odxf="1" s="1" dxf="1" numFmtId="14">
    <nc r="Y43">
      <v>0.11700000000000001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8" sId="17" odxf="1" s="1" dxf="1" numFmtId="14">
    <nc r="Z43">
      <v>0.14199999999999999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69" sId="17" odxf="1" s="1" dxf="1" numFmtId="14">
    <nc r="AA43">
      <v>0.10100000000000001</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570" sId="17" odxf="1" s="1" dxf="1" numFmtId="14">
    <nc r="AB43">
      <v>0.124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1" sId="17" odxf="1" s="1" dxf="1" numFmtId="14">
    <nc r="AC43">
      <v>0.13200000000000001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2" sId="17" odxf="1" dxf="1">
    <nc r="B44" t="inlineStr">
      <is>
        <t xml:space="preserve">ROA (zwrot z aktywów) 7)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573" sId="17" odxf="1" dxf="1">
    <nc r="C44" t="inlineStr">
      <is>
        <t>ROA 7)</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574" sId="17" odxf="1" dxf="1" numFmtId="14">
    <nc r="D44">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5" sId="17" odxf="1" dxf="1" numFmtId="14">
    <nc r="E44">
      <v>1.2999999999999999E-2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6" sId="17" odxf="1" dxf="1" numFmtId="14">
    <nc r="F44">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7" sId="17" odxf="1" dxf="1" numFmtId="14">
    <nc r="G44">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78" sId="17" odxf="1" dxf="1" numFmtId="14">
    <nc r="H44">
      <v>1.4E-2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79" sId="17" odxf="1" dxf="1" numFmtId="14">
    <nc r="I44">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0" sId="17" odxf="1" dxf="1" numFmtId="14">
    <nc r="J44">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1" sId="17" odxf="1" dxf="1" numFmtId="14">
    <nc r="K44">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2" sId="17" odxf="1" dxf="1" numFmtId="14">
    <nc r="L44">
      <v>1.0999999999999999E-2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3" sId="17" odxf="1" dxf="1" numFmtId="14">
    <nc r="M44">
      <v>1.0999999999999999E-2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84" sId="17" odxf="1" dxf="1" numFmtId="14">
    <nc r="N44">
      <v>1.2E-2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85" sId="17" odxf="1" dxf="1" numFmtId="14">
    <nc r="O44">
      <v>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1586" sId="17" odxf="1" dxf="1" numFmtId="14">
    <nc r="P44">
      <v>8.9999999999999993E-3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7" sId="17" odxf="1" dxf="1" numFmtId="14">
    <nc r="Q44">
      <v>8.0000000000000002E-3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88" sId="17" odxf="1" dxf="1" numFmtId="14">
    <nc r="R44">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4"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1589" sId="17" odxf="1" s="1" dxf="1" numFmtId="14">
    <nc r="T44">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0" sId="17" odxf="1" s="1" dxf="1" numFmtId="14">
    <nc r="U44">
      <v>8.0000000000000002E-3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1" sId="17" odxf="1" s="1" dxf="1" numFmtId="14">
    <nc r="V44">
      <v>1.0999999999999999E-2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2" sId="17" odxf="1" s="1" dxf="1" numFmtId="14">
    <nc r="W44">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3" sId="17" odxf="1" s="1" dxf="1" numFmtId="14">
    <nc r="X44">
      <v>1.2E-2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4" sId="17" odxf="1" s="1" dxf="1" numFmtId="14">
    <nc r="Y44">
      <v>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5" sId="17" odxf="1" s="1" dxf="1" numFmtId="14">
    <nc r="Z44">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1596" sId="17" odxf="1" s="1" dxf="1" numFmtId="14">
    <nc r="AA44">
      <v>8.9999999999999993E-3</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1597" sId="17" odxf="1" s="1" dxf="1" numFmtId="14">
    <nc r="AB44">
      <v>1.0999999999999999E-2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98" sId="17" odxf="1" s="1" dxf="1" numFmtId="14">
    <nc r="AC44">
      <v>1.2E-2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1599" sId="17" odxf="1" dxf="1">
    <nc r="B45" t="inlineStr">
      <is>
        <t>Współczynnik kapitałowy 8)</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600" sId="17" odxf="1" dxf="1">
    <nc r="C45" t="inlineStr">
      <is>
        <t>Capital ratio 8)</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601" sId="17" odxf="1" dxf="1" numFmtId="14">
    <nc r="D45">
      <v>0.15670000000000001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02" sId="17" odxf="1" dxf="1" numFmtId="14">
    <nc r="E45">
      <v>0.1651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03" sId="17" odxf="1" dxf="1" numFmtId="14">
    <nc r="F45">
      <v>0.16900000000000001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04" sId="17" odxf="1" dxf="1" numFmtId="14">
    <nc r="G45">
      <v>0.16689999999999999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05" sId="17" odxf="1" dxf="1" numFmtId="14">
    <nc r="H45">
      <v>0.16669999999999999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06" sId="17" odxf="1" dxf="1" numFmtId="14">
    <nc r="I45">
      <v>0.17780000000000001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07" sId="17" odxf="1" dxf="1" numFmtId="14">
    <nc r="J45">
      <v>0.17610000000000001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08" sId="17" odxf="1" dxf="1" numFmtId="14">
    <nc r="K45">
      <v>0.1598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09" sId="17" odxf="1" dxf="1" numFmtId="14">
    <nc r="L45">
      <v>0.16470000000000001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0" sId="17" odxf="1" dxf="1" numFmtId="14">
    <nc r="M45">
      <v>0.16259999999999999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11" sId="17" odxf="1" dxf="1" numFmtId="14">
    <nc r="N45">
      <v>0.16139999999999999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12" sId="17" odxf="1" dxf="1" numFmtId="14">
    <nc r="O45">
      <v>0.17069999999999999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13" sId="17" odxf="1" dxf="1" numFmtId="14">
    <nc r="P45">
      <v>0.16789999999999999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4" sId="17" odxf="1" dxf="1" numFmtId="14">
    <nc r="Q45">
      <v>0.18759999999999999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5" sId="17" odxf="1" dxf="1" numFmtId="14">
    <nc r="R45">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45"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cc rId="1616" sId="17" odxf="1" s="1" dxf="1" numFmtId="14">
    <nc r="T45">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7" sId="17" odxf="1" s="1" dxf="1" numFmtId="14">
    <nc r="U45">
      <v>0.188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8" sId="17" odxf="1" s="1" dxf="1" numFmtId="14">
    <nc r="V45">
      <v>0.16300000000000001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19" sId="17" odxf="1" s="1" dxf="1" numFmtId="14">
    <nc r="W45">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20" sId="17" odxf="1" s="1" dxf="1" numFmtId="14">
    <nc r="X45">
      <v>0.161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21" sId="17" odxf="1" s="1" dxf="1" numFmtId="14">
    <nc r="Y45">
      <v>0.17100000000000001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22" sId="17" odxf="1" s="1" dxf="1" numFmtId="14">
    <nc r="Z45">
      <v>0.16</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1623" sId="17" odxf="1" s="1" dxf="1" numFmtId="14">
    <nc r="AA45">
      <v>0.16789999999999999</v>
    </nc>
    <ndxf>
      <font>
        <sz val="8"/>
        <color auto="1"/>
        <name val="Open Sans"/>
        <scheme val="none"/>
      </font>
      <numFmt numFmtId="14" formatCode="0.00%"/>
      <fill>
        <patternFill patternType="solid">
          <bgColor rgb="FFDEEDF2"/>
        </patternFill>
      </fill>
      <alignment horizontal="right" vertical="center" readingOrder="0"/>
      <border outline="0">
        <top style="dotted">
          <color theme="0" tint="-0.34998626667073579"/>
        </top>
        <bottom style="dotted">
          <color theme="0" tint="-0.34998626667073579"/>
        </bottom>
      </border>
    </ndxf>
  </rcc>
  <rcc rId="1624" sId="17" odxf="1" s="1" dxf="1" numFmtId="14">
    <nc r="AB45">
      <v>0.16470000000000001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25" sId="17" odxf="1" s="1" dxf="1" numFmtId="14">
    <nc r="AC45">
      <v>0.16139999999999999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26" sId="17" odxf="1" dxf="1">
    <nc r="B46" t="inlineStr">
      <is>
        <t xml:space="preserve">Współczynnik kapitału  Tier I 9)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627" sId="17" odxf="1" dxf="1">
    <nc r="C46" t="inlineStr">
      <is>
        <t>Tier I ratio 9)</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628" sId="17" odxf="1" dxf="1" numFmtId="14">
    <nc r="D46">
      <v>0.14699999999999999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29" sId="17" odxf="1" dxf="1" numFmtId="14">
    <nc r="E46">
      <v>0.15529999999999999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0" sId="17" odxf="1" dxf="1" numFmtId="14">
    <nc r="F46">
      <v>0.15920000000000001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1" sId="17" odxf="1" dxf="1" numFmtId="14">
    <nc r="G46">
      <v>0.15279999999999999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2" sId="17" odxf="1" dxf="1" numFmtId="14">
    <nc r="H46">
      <v>0.15310000000000001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3" sId="17" odxf="1" dxf="1" numFmtId="14">
    <nc r="I46">
      <v>0.15629999999999999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4" sId="17" odxf="1" dxf="1" numFmtId="14">
    <nc r="J46">
      <v>0.15509999999999999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5" sId="17" odxf="1" dxf="1" numFmtId="14">
    <nc r="K46">
      <v>0.1411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6" sId="17" odxf="1" dxf="1" numFmtId="14">
    <nc r="L46">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37" sId="17" odxf="1" dxf="1" numFmtId="14">
    <nc r="M46">
      <v>0.14449999999999999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38" sId="17" odxf="1" dxf="1" numFmtId="14">
    <nc r="N46">
      <v>0.1431</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39" sId="17" odxf="1" dxf="1" numFmtId="14">
    <nc r="O46">
      <v>0.15210000000000001</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40" sId="17" odxf="1" dxf="1" numFmtId="14">
    <nc r="P46">
      <v>0.14910000000000001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1" sId="17" odxf="1" dxf="1" numFmtId="14">
    <nc r="Q46">
      <v>0.1681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2" sId="17" odxf="1" dxf="1" numFmtId="14">
    <nc r="R46">
      <v>0.1676</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17" s="1" sqref="S46"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cc rId="1643" sId="17" odxf="1" s="1" dxf="1" numFmtId="14">
    <nc r="T46">
      <v>0.1676</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4" sId="17" odxf="1" s="1" dxf="1" numFmtId="14">
    <nc r="U46">
      <v>0.16800000000000001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5" sId="17" odxf="1" s="1" dxf="1" numFmtId="14">
    <nc r="V46">
      <v>0.14499999999999999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6" sId="17" odxf="1" s="1" dxf="1" numFmtId="14">
    <nc r="W46">
      <v>0.16800000000000001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7" sId="17" odxf="1" s="1" dxf="1" numFmtId="14">
    <nc r="X46">
      <v>0.14299999999999999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8" sId="17" odxf="1" s="1" dxf="1" numFmtId="14">
    <nc r="Y46">
      <v>0.152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49" sId="17" odxf="1" s="1" dxf="1" numFmtId="14">
    <nc r="Z46">
      <v>0.14099999999999999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50" sId="17" odxf="1" s="1" dxf="1" numFmtId="14">
    <nc r="AA46">
      <v>0.14910000000000001</v>
    </nc>
    <ndxf>
      <font>
        <sz val="8"/>
        <color auto="1"/>
        <name val="Open Sans"/>
        <scheme val="none"/>
      </font>
      <numFmt numFmtId="14" formatCode="0.00%"/>
      <fill>
        <patternFill patternType="solid">
          <bgColor rgb="FFDEEDF2"/>
        </patternFill>
      </fill>
      <alignment horizontal="right" vertical="center" readingOrder="0"/>
      <border outline="0">
        <top style="dotted">
          <color theme="0" tint="-0.34998626667073579"/>
        </top>
        <bottom style="dotted">
          <color theme="0" tint="-0.34998626667073579"/>
        </bottom>
      </border>
    </ndxf>
  </rcc>
  <rcc rId="1651" sId="17" odxf="1" s="1" dxf="1" numFmtId="14">
    <nc r="AB46">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52" sId="17" odxf="1" s="1" dxf="1" numFmtId="14">
    <nc r="AC46">
      <v>0.1431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1653" sId="17" odxf="1" dxf="1">
    <nc r="B47" t="inlineStr">
      <is>
        <t xml:space="preserve">Wartość księgowa na jedną akcję (w zł)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1654" sId="17" odxf="1" dxf="1">
    <nc r="C47" t="inlineStr">
      <is>
        <t xml:space="preserve">Book value per share (in PLN)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1655" sId="17" odxf="1" dxf="1" numFmtId="4">
    <nc r="D47">
      <v>218.58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56" sId="17" odxf="1" dxf="1" numFmtId="4">
    <nc r="E47">
      <v>220.65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57" sId="17" odxf="1" dxf="1" numFmtId="4">
    <nc r="F47">
      <v>228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58" sId="17" odxf="1" dxf="1" numFmtId="4">
    <nc r="G47">
      <v>234.86</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59" sId="17" odxf="1" dxf="1" numFmtId="4">
    <nc r="H47">
      <v>239.04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0" sId="17" odxf="1" dxf="1" numFmtId="4">
    <nc r="I47">
      <v>241.21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1" sId="17" odxf="1" dxf="1" numFmtId="4">
    <nc r="J47">
      <v>246.75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2" sId="17" odxf="1" dxf="1" numFmtId="4">
    <nc r="K47">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3" sId="17" odxf="1" dxf="1" numFmtId="4">
    <nc r="L47">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4" sId="17" odxf="1" dxf="1" numFmtId="4">
    <nc r="M47">
      <v>250.07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65" sId="17" odxf="1" dxf="1" numFmtId="4">
    <nc r="N47">
      <v>258.77999999999997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66" sId="17" odxf="1" dxf="1" numFmtId="4">
    <nc r="O47">
      <v>264.27999999999997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1667" sId="17" odxf="1" dxf="1" numFmtId="4">
    <nc r="P47">
      <v>266.83999999999997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8" sId="17" odxf="1" dxf="1" numFmtId="4">
    <nc r="Q47">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69" sId="17" odxf="1" dxf="1" numFmtId="4">
    <nc r="R47">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fmt sheetId="17" s="1" sqref="S47"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cc rId="1670" sId="17" odxf="1" s="1" dxf="1" numFmtId="4">
    <nc r="T47">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1" sId="17" odxf="1" s="1" dxf="1" numFmtId="4">
    <nc r="U47">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2" sId="17" odxf="1" s="1" dxf="1" numFmtId="4">
    <nc r="V47">
      <v>250.07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3" sId="17" odxf="1" s="1" dxf="1" numFmtId="4">
    <nc r="W47">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4" sId="17" odxf="1" s="1" dxf="1" numFmtId="4">
    <nc r="X47">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5" sId="17" odxf="1" s="1" dxf="1" numFmtId="4">
    <nc r="Y47">
      <v>264.27999999999997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6" sId="17" odxf="1" s="1" dxf="1" numFmtId="4">
    <nc r="Z47">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7" sId="17" odxf="1" s="1" dxf="1" numFmtId="4">
    <nc r="AA47">
      <v>266.83999999999997</v>
    </nc>
    <ndxf>
      <font>
        <sz val="8"/>
        <color auto="1"/>
        <name val="Open Sans"/>
        <scheme val="none"/>
      </font>
      <numFmt numFmtId="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1678" sId="17" odxf="1" s="1" dxf="1" numFmtId="4">
    <nc r="AB47">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79" sId="17" odxf="1" s="1" dxf="1" numFmtId="4">
    <nc r="AC47">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1680" sId="17" odxf="1" dxf="1">
    <nc r="B48" t="inlineStr">
      <is>
        <t xml:space="preserve">Zysk na jedną akcję zwykłą (w zł) 10) </t>
      </is>
    </nc>
    <ndxf>
      <font>
        <sz val="8"/>
        <color auto="1"/>
        <name val="Open Sans"/>
        <scheme val="none"/>
      </font>
      <alignment horizontal="left" vertical="center" wrapText="1" indent="1" readingOrder="0"/>
      <border outline="0">
        <bottom style="medium">
          <color rgb="FFCC0000"/>
        </bottom>
      </border>
    </ndxf>
  </rcc>
  <rcc rId="1681" sId="17" odxf="1" dxf="1">
    <nc r="C48" t="inlineStr">
      <is>
        <t>Earnings per share (in PLN) 10)</t>
      </is>
    </nc>
    <ndxf>
      <font>
        <sz val="8"/>
        <color auto="1"/>
        <name val="Open Sans"/>
        <scheme val="none"/>
      </font>
      <alignment horizontal="left" vertical="center" wrapText="1" indent="1" readingOrder="0"/>
      <border outline="0">
        <bottom style="medium">
          <color rgb="FFCC0000"/>
        </bottom>
      </border>
    </ndxf>
  </rcc>
  <rcc rId="1682" sId="17" odxf="1" dxf="1" numFmtId="4">
    <nc r="D48">
      <v>4.5599999999999996</v>
    </nc>
    <ndxf>
      <font>
        <sz val="8"/>
        <color auto="1"/>
        <name val="Open Sans"/>
        <scheme val="none"/>
      </font>
      <numFmt numFmtId="4" formatCode="#,##0.00"/>
      <alignment vertical="center" readingOrder="0"/>
      <border outline="0">
        <bottom style="medium">
          <color rgb="FFCC0000"/>
        </bottom>
      </border>
    </ndxf>
  </rcc>
  <rcc rId="1683" sId="17" odxf="1" dxf="1" numFmtId="4">
    <nc r="E48">
      <v>11.09</v>
    </nc>
    <ndxf>
      <font>
        <sz val="8"/>
        <color auto="1"/>
        <name val="Open Sans"/>
        <scheme val="none"/>
      </font>
      <numFmt numFmtId="4" formatCode="#,##0.00"/>
      <alignment vertical="center" readingOrder="0"/>
      <border outline="0">
        <bottom style="medium">
          <color rgb="FFCC0000"/>
        </bottom>
      </border>
    </ndxf>
  </rcc>
  <rcc rId="1684" sId="17" odxf="1" dxf="1" numFmtId="4">
    <nc r="F48">
      <v>16.57</v>
    </nc>
    <ndxf>
      <font>
        <sz val="8"/>
        <color auto="1"/>
        <name val="Open Sans"/>
        <scheme val="none"/>
      </font>
      <numFmt numFmtId="4" formatCode="#,##0.00"/>
      <alignment vertical="center" readingOrder="0"/>
      <border outline="0">
        <bottom style="medium">
          <color rgb="FFCC0000"/>
        </bottom>
      </border>
    </ndxf>
  </rcc>
  <rcc rId="1685" sId="17" odxf="1" dxf="1" numFmtId="4">
    <nc r="G48">
      <v>22.15</v>
    </nc>
    <ndxf>
      <font>
        <sz val="8"/>
        <color auto="1"/>
        <name val="Open Sans"/>
        <scheme val="none"/>
      </font>
      <numFmt numFmtId="4" formatCode="#,##0.00"/>
      <alignment vertical="center" readingOrder="0"/>
      <border outline="0">
        <bottom style="medium">
          <color rgb="FFCC0000"/>
        </bottom>
      </border>
    </ndxf>
  </rcc>
  <rcc rId="1686" sId="17" odxf="1" dxf="1" numFmtId="4">
    <nc r="H48">
      <v>4.37</v>
    </nc>
    <ndxf>
      <font>
        <sz val="8"/>
        <color auto="1"/>
        <name val="Open Sans"/>
        <scheme val="none"/>
      </font>
      <numFmt numFmtId="4" formatCode="#,##0.00"/>
      <alignment vertical="center" readingOrder="0"/>
      <border outline="0">
        <bottom style="medium">
          <color rgb="FFCC0000"/>
        </bottom>
      </border>
    </ndxf>
  </rcc>
  <rcc rId="1687" sId="17" odxf="1" dxf="1" numFmtId="4">
    <nc r="I48">
      <v>10.85</v>
    </nc>
    <ndxf>
      <font>
        <sz val="8"/>
        <color auto="1"/>
        <name val="Open Sans"/>
        <scheme val="none"/>
      </font>
      <numFmt numFmtId="4" formatCode="#,##0.00"/>
      <alignment vertical="center" readingOrder="0"/>
      <border outline="0">
        <bottom style="medium">
          <color rgb="FFCC0000"/>
        </bottom>
      </border>
    </ndxf>
  </rcc>
  <rcc rId="1688" sId="17" odxf="1" dxf="1" numFmtId="4">
    <nc r="J48">
      <v>15.86</v>
    </nc>
    <ndxf>
      <font>
        <sz val="8"/>
        <color auto="1"/>
        <name val="Open Sans"/>
        <scheme val="none"/>
      </font>
      <numFmt numFmtId="4" formatCode="#,##0.00"/>
      <alignment vertical="center" readingOrder="0"/>
      <border outline="0">
        <bottom style="medium">
          <color rgb="FFCC0000"/>
        </bottom>
      </border>
    </ndxf>
  </rcc>
  <rcc rId="1689" sId="17" odxf="1" dxf="1" numFmtId="4">
    <nc r="K48">
      <v>23.7</v>
    </nc>
    <ndxf>
      <font>
        <sz val="8"/>
        <color auto="1"/>
        <name val="Open Sans"/>
        <scheme val="none"/>
      </font>
      <numFmt numFmtId="4" formatCode="#,##0.00"/>
      <alignment vertical="center" readingOrder="0"/>
      <border outline="0">
        <bottom style="medium">
          <color rgb="FFCC0000"/>
        </bottom>
      </border>
    </ndxf>
  </rcc>
  <rcc rId="1690" sId="17" odxf="1" dxf="1" numFmtId="4">
    <nc r="L48">
      <v>3.32</v>
    </nc>
    <ndxf>
      <font>
        <sz val="8"/>
        <color auto="1"/>
        <name val="Open Sans"/>
        <scheme val="none"/>
      </font>
      <numFmt numFmtId="4" formatCode="#,##0.00"/>
      <alignment vertical="center" readingOrder="0"/>
      <border outline="0">
        <bottom style="medium">
          <color rgb="FFCC0000"/>
        </bottom>
      </border>
    </ndxf>
  </rcc>
  <rcc rId="1691" sId="17" odxf="1" dxf="1" numFmtId="4">
    <nc r="M48">
      <v>9.16</v>
    </nc>
    <ndxf>
      <font>
        <sz val="8"/>
        <color auto="1"/>
        <name val="Open Sans"/>
        <scheme val="none"/>
      </font>
      <numFmt numFmtId="4" formatCode="#,##0.00"/>
      <fill>
        <patternFill patternType="solid">
          <bgColor theme="2"/>
        </patternFill>
      </fill>
      <alignment vertical="center" wrapText="1" readingOrder="0"/>
      <border outline="0">
        <bottom style="medium">
          <color rgb="FFCC0000"/>
        </bottom>
      </border>
    </ndxf>
  </rcc>
  <rcc rId="1692" sId="17" odxf="1" dxf="1" numFmtId="4">
    <nc r="N48">
      <v>15.98</v>
    </nc>
    <ndxf>
      <font>
        <sz val="8"/>
        <color auto="1"/>
        <name val="Open Sans"/>
        <scheme val="none"/>
      </font>
      <numFmt numFmtId="4" formatCode="#,##0.00"/>
      <fill>
        <patternFill patternType="solid">
          <bgColor theme="2"/>
        </patternFill>
      </fill>
      <alignment vertical="center" wrapText="1" readingOrder="0"/>
      <border outline="0">
        <bottom style="medium">
          <color rgb="FFCC0000"/>
        </bottom>
      </border>
    </ndxf>
  </rcc>
  <rcc rId="1693" sId="17" odxf="1" dxf="1" numFmtId="4">
    <nc r="O48">
      <v>20.95</v>
    </nc>
    <ndxf>
      <font>
        <sz val="8"/>
        <color auto="1"/>
        <name val="Open Sans"/>
        <scheme val="none"/>
      </font>
      <numFmt numFmtId="4" formatCode="#,##0.00"/>
      <fill>
        <patternFill patternType="solid">
          <bgColor theme="2"/>
        </patternFill>
      </fill>
      <alignment vertical="center" readingOrder="0"/>
      <border outline="0">
        <bottom style="medium">
          <color rgb="FFCC0000"/>
        </bottom>
      </border>
    </ndxf>
  </rcc>
  <rcc rId="1694" sId="17" odxf="1" dxf="1" numFmtId="4">
    <nc r="P48">
      <v>1.67</v>
    </nc>
    <ndxf>
      <font>
        <sz val="8"/>
        <color auto="1"/>
        <name val="Open Sans"/>
        <scheme val="none"/>
      </font>
      <numFmt numFmtId="4" formatCode="#,##0.00"/>
      <alignment vertical="center" readingOrder="0"/>
      <border outline="0">
        <bottom style="medium">
          <color rgb="FFCC0000"/>
        </bottom>
      </border>
    </ndxf>
  </rcc>
  <rcc rId="1695" sId="17" odxf="1" dxf="1" numFmtId="4">
    <nc r="Q48">
      <v>4.66</v>
    </nc>
    <ndxf>
      <font>
        <sz val="8"/>
        <color auto="1"/>
        <name val="Open Sans"/>
        <scheme val="none"/>
      </font>
      <numFmt numFmtId="4" formatCode="#,##0.00"/>
      <alignment vertical="center" readingOrder="0"/>
      <border outline="0">
        <bottom style="medium">
          <color rgb="FFCC0000"/>
        </bottom>
      </border>
    </ndxf>
  </rcc>
  <rcc rId="1696" sId="17" odxf="1" dxf="1" numFmtId="4">
    <nc r="R48">
      <v>9.36</v>
    </nc>
    <ndxf>
      <font>
        <sz val="8"/>
        <color auto="1"/>
        <name val="Open Sans"/>
        <scheme val="none"/>
      </font>
      <numFmt numFmtId="4" formatCode="#,##0.00"/>
      <alignment vertical="center" readingOrder="0"/>
      <border outline="0">
        <bottom style="medium">
          <color rgb="FFCC0000"/>
        </bottom>
      </border>
    </ndxf>
  </rcc>
  <rfmt sheetId="17" s="1" sqref="S48" start="0" length="0">
    <dxf>
      <font>
        <sz val="8"/>
        <color auto="1"/>
        <name val="Open Sans"/>
        <scheme val="none"/>
      </font>
      <numFmt numFmtId="4" formatCode="#,##0.00"/>
      <alignment vertical="center" readingOrder="0"/>
      <border outline="0">
        <bottom style="medium">
          <color rgb="FFCC0000"/>
        </bottom>
      </border>
    </dxf>
  </rfmt>
  <rcc rId="1697" sId="17" odxf="1" s="1" dxf="1" numFmtId="4">
    <nc r="T48">
      <v>9.36</v>
    </nc>
    <ndxf>
      <font>
        <sz val="8"/>
        <color auto="1"/>
        <name val="Open Sans"/>
        <scheme val="none"/>
      </font>
      <numFmt numFmtId="4" formatCode="#,##0.00"/>
      <alignment vertical="center" readingOrder="0"/>
      <border outline="0">
        <bottom style="medium">
          <color rgb="FFCC0000"/>
        </bottom>
      </border>
    </ndxf>
  </rcc>
  <rcc rId="1698" sId="17" odxf="1" s="1" dxf="1" numFmtId="4">
    <nc r="U48">
      <v>4.66</v>
    </nc>
    <ndxf>
      <font>
        <sz val="8"/>
        <color auto="1"/>
        <name val="Open Sans"/>
        <scheme val="none"/>
      </font>
      <numFmt numFmtId="4" formatCode="#,##0.00"/>
      <alignment vertical="center" readingOrder="0"/>
      <border outline="0">
        <bottom style="medium">
          <color rgb="FFCC0000"/>
        </bottom>
      </border>
    </ndxf>
  </rcc>
  <rcc rId="1699" sId="17" odxf="1" s="1" dxf="1" numFmtId="4">
    <nc r="V48">
      <v>9.16</v>
    </nc>
    <ndxf>
      <font>
        <sz val="8"/>
        <color auto="1"/>
        <name val="Open Sans"/>
        <scheme val="none"/>
      </font>
      <numFmt numFmtId="4" formatCode="#,##0.00"/>
      <alignment vertical="center" readingOrder="0"/>
      <border outline="0">
        <bottom style="medium">
          <color rgb="FFCC0000"/>
        </bottom>
      </border>
    </ndxf>
  </rcc>
  <rcc rId="1700" sId="17" odxf="1" s="1" dxf="1" numFmtId="4">
    <nc r="W48">
      <v>9.36</v>
    </nc>
    <ndxf>
      <font>
        <sz val="8"/>
        <color auto="1"/>
        <name val="Open Sans"/>
        <scheme val="none"/>
      </font>
      <numFmt numFmtId="4" formatCode="#,##0.00"/>
      <alignment vertical="center" readingOrder="0"/>
      <border outline="0">
        <bottom style="medium">
          <color rgb="FFCC0000"/>
        </bottom>
      </border>
    </ndxf>
  </rcc>
  <rcc rId="1701" sId="17" odxf="1" s="1" dxf="1" numFmtId="4">
    <nc r="X48">
      <v>15.98</v>
    </nc>
    <ndxf>
      <font>
        <sz val="8"/>
        <color auto="1"/>
        <name val="Open Sans"/>
        <scheme val="none"/>
      </font>
      <numFmt numFmtId="4" formatCode="#,##0.00"/>
      <alignment vertical="center" readingOrder="0"/>
      <border outline="0">
        <bottom style="medium">
          <color rgb="FFCC0000"/>
        </bottom>
      </border>
    </ndxf>
  </rcc>
  <rcc rId="1702" sId="17" odxf="1" s="1" dxf="1" numFmtId="4">
    <nc r="Y48">
      <v>20.95</v>
    </nc>
    <ndxf>
      <font>
        <sz val="8"/>
        <color auto="1"/>
        <name val="Open Sans"/>
        <scheme val="none"/>
      </font>
      <numFmt numFmtId="4" formatCode="#,##0.00"/>
      <alignment vertical="center" readingOrder="0"/>
      <border outline="0">
        <bottom style="medium">
          <color rgb="FFCC0000"/>
        </bottom>
      </border>
    </ndxf>
  </rcc>
  <rcc rId="1703" sId="17" odxf="1" s="1" dxf="1" numFmtId="4">
    <nc r="Z48">
      <v>23.7</v>
    </nc>
    <ndxf>
      <font>
        <sz val="8"/>
        <color auto="1"/>
        <name val="Open Sans"/>
        <scheme val="none"/>
      </font>
      <numFmt numFmtId="4" formatCode="#,##0.00"/>
      <alignment vertical="center" readingOrder="0"/>
      <border outline="0">
        <bottom style="medium">
          <color rgb="FFCC0000"/>
        </bottom>
      </border>
    </ndxf>
  </rcc>
  <rcc rId="1704" sId="17" odxf="1" s="1" dxf="1" numFmtId="4">
    <nc r="AA48">
      <v>1.67</v>
    </nc>
    <ndxf>
      <font>
        <sz val="8"/>
        <color auto="1"/>
        <name val="Open Sans"/>
        <scheme val="none"/>
      </font>
      <numFmt numFmtId="4" formatCode="#,##0.00"/>
      <fill>
        <patternFill patternType="solid">
          <bgColor rgb="FFDEEDF2"/>
        </patternFill>
      </fill>
      <alignment vertical="center" wrapText="1" readingOrder="0"/>
      <border outline="0">
        <bottom style="medium">
          <color rgb="FFCC0000"/>
        </bottom>
      </border>
    </ndxf>
  </rcc>
  <rcc rId="1705" sId="17" odxf="1" s="1" dxf="1" numFmtId="4">
    <nc r="AB48">
      <v>3.32</v>
    </nc>
    <ndxf>
      <font>
        <sz val="8"/>
        <color auto="1"/>
        <name val="Open Sans"/>
        <scheme val="none"/>
      </font>
      <numFmt numFmtId="4" formatCode="#,##0.00"/>
      <alignment vertical="center" readingOrder="0"/>
      <border outline="0">
        <bottom style="medium">
          <color rgb="FFCC0000"/>
        </bottom>
      </border>
    </ndxf>
  </rcc>
  <rcc rId="1706" sId="17" odxf="1" s="1" dxf="1" numFmtId="4">
    <nc r="AC48">
      <v>15.98</v>
    </nc>
    <ndxf>
      <font>
        <sz val="8"/>
        <color auto="1"/>
        <name val="Open Sans"/>
        <scheme val="none"/>
      </font>
      <numFmt numFmtId="4" formatCode="#,##0.00"/>
      <alignment vertical="center" readingOrder="0"/>
      <border outline="0">
        <bottom style="medium">
          <color rgb="FFCC0000"/>
        </bottom>
      </border>
    </ndxf>
  </rcc>
  <rfmt sheetId="17" s="1" sqref="D18" start="0" length="0">
    <dxf>
      <font>
        <sz val="8"/>
        <color auto="1"/>
        <name val="Open Sans"/>
        <scheme val="none"/>
      </font>
      <numFmt numFmtId="4" formatCode="#,##0.00"/>
      <alignment vertical="center" readingOrder="0"/>
    </dxf>
  </rfmt>
  <rfmt sheetId="17" sqref="D19" start="0" length="0">
    <dxf>
      <font>
        <sz val="8"/>
        <color auto="1"/>
        <name val="Open Sans"/>
        <scheme val="none"/>
      </font>
      <numFmt numFmtId="4" formatCode="#,##0.00"/>
      <alignment vertical="center" readingOrder="0"/>
    </dxf>
  </rfmt>
  <rfmt sheetId="17" sqref="D20" start="0" length="0">
    <dxf>
      <font>
        <sz val="8"/>
        <color auto="1"/>
        <name val="Open Sans"/>
        <scheme val="none"/>
      </font>
      <numFmt numFmtId="4" formatCode="#,##0.00"/>
      <alignment vertical="center" readingOrder="0"/>
    </dxf>
  </rfmt>
  <rfmt sheetId="17" sqref="D21" start="0" length="0">
    <dxf>
      <font>
        <sz val="8"/>
        <color auto="1"/>
        <name val="Open Sans"/>
        <scheme val="none"/>
      </font>
      <numFmt numFmtId="4" formatCode="#,##0.00"/>
      <alignment vertical="center" readingOrder="0"/>
    </dxf>
  </rfmt>
  <rfmt sheetId="17" s="1" sqref="D22" start="0" length="0">
    <dxf>
      <font>
        <sz val="8"/>
        <color auto="1"/>
        <name val="Open Sans"/>
        <scheme val="none"/>
      </font>
      <numFmt numFmtId="4" formatCode="#,##0.00"/>
      <alignment vertical="center" readingOrder="0"/>
    </dxf>
  </rfmt>
  <rfmt sheetId="17" s="1" sqref="D23" start="0" length="0">
    <dxf>
      <font>
        <sz val="8"/>
        <color auto="1"/>
        <name val="Open Sans"/>
        <scheme val="none"/>
      </font>
      <numFmt numFmtId="4" formatCode="#,##0.00"/>
      <alignment vertical="center" readingOrder="0"/>
    </dxf>
  </rfmt>
  <rfmt sheetId="17" s="1" sqref="D24" start="0" length="0">
    <dxf>
      <font>
        <sz val="8"/>
        <color auto="1"/>
        <name val="Open Sans"/>
        <scheme val="none"/>
      </font>
      <numFmt numFmtId="4" formatCode="#,##0.00"/>
      <alignment vertical="center" readingOrder="0"/>
    </dxf>
  </rfmt>
  <rfmt sheetId="17" s="1" sqref="D25" start="0" length="0">
    <dxf>
      <font>
        <sz val="8"/>
        <color auto="1"/>
        <name val="Open Sans"/>
        <scheme val="none"/>
      </font>
      <numFmt numFmtId="4" formatCode="#,##0.00"/>
      <alignment vertical="center" readingOrder="0"/>
    </dxf>
  </rfmt>
  <rfmt sheetId="17" s="1" sqref="D26" start="0" length="0">
    <dxf>
      <font>
        <sz val="8"/>
        <color auto="1"/>
        <name val="Open Sans"/>
        <scheme val="none"/>
      </font>
      <numFmt numFmtId="4" formatCode="#,##0.00"/>
      <alignment vertical="center" readingOrder="0"/>
    </dxf>
  </rfmt>
  <rfmt sheetId="17" s="1" sqref="D27" start="0" length="0">
    <dxf>
      <font>
        <sz val="8"/>
        <color auto="1"/>
        <name val="Open Sans"/>
        <scheme val="none"/>
      </font>
      <numFmt numFmtId="4" formatCode="#,##0.00"/>
      <alignment vertical="center" readingOrder="0"/>
    </dxf>
  </rfmt>
  <rfmt sheetId="17" sqref="D28" start="0" length="0">
    <dxf>
      <font>
        <sz val="8"/>
        <color auto="1"/>
        <name val="Open Sans"/>
        <scheme val="none"/>
      </font>
      <numFmt numFmtId="4" formatCode="#,##0.00"/>
      <alignment vertical="center" readingOrder="0"/>
    </dxf>
  </rfmt>
  <rfmt sheetId="17" sqref="D29" start="0" length="0">
    <dxf>
      <font>
        <sz val="8"/>
        <color auto="1"/>
        <name val="Open Sans"/>
        <scheme val="none"/>
      </font>
      <numFmt numFmtId="4" formatCode="#,##0.00"/>
      <alignment vertical="center" readingOrder="0"/>
    </dxf>
  </rfmt>
  <rfmt sheetId="17" sqref="D30" start="0" length="0">
    <dxf>
      <font>
        <sz val="8"/>
        <color auto="1"/>
        <name val="Open Sans"/>
        <scheme val="none"/>
      </font>
      <numFmt numFmtId="4" formatCode="#,##0.00"/>
      <alignment vertical="center" readingOrder="0"/>
    </dxf>
  </rfmt>
  <rfmt sheetId="17" sqref="D31" start="0" length="0">
    <dxf>
      <font>
        <sz val="8"/>
        <color auto="1"/>
        <name val="Open Sans"/>
        <scheme val="none"/>
      </font>
      <numFmt numFmtId="4" formatCode="#,##0.00"/>
      <alignment vertical="center" readingOrder="0"/>
    </dxf>
  </rfmt>
  <rfmt sheetId="17" sqref="D32" start="0" length="0">
    <dxf>
      <font>
        <sz val="8"/>
        <color auto="1"/>
        <name val="Open Sans"/>
        <scheme val="none"/>
      </font>
      <numFmt numFmtId="4" formatCode="#,##0.00"/>
      <alignment vertical="center" readingOrder="0"/>
    </dxf>
  </rfmt>
  <rfmt sheetId="17" sqref="E18" start="0" length="0">
    <dxf>
      <font>
        <sz val="8"/>
        <color auto="1"/>
        <name val="Open Sans"/>
        <scheme val="none"/>
      </font>
      <numFmt numFmtId="4" formatCode="#,##0.00"/>
      <alignment vertical="center" readingOrder="0"/>
    </dxf>
  </rfmt>
  <rfmt sheetId="17" sqref="F18" start="0" length="0">
    <dxf>
      <font>
        <sz val="8"/>
        <color auto="1"/>
        <name val="Open Sans"/>
        <scheme val="none"/>
      </font>
      <numFmt numFmtId="4" formatCode="#,##0.00"/>
      <alignment vertical="center" readingOrder="0"/>
    </dxf>
  </rfmt>
  <rfmt sheetId="17" s="1" sqref="G18" start="0" length="0">
    <dxf>
      <font>
        <i val="0"/>
        <sz val="8"/>
        <color auto="1"/>
        <name val="Open Sans"/>
        <scheme val="none"/>
      </font>
      <numFmt numFmtId="4" formatCode="#,##0.00"/>
      <alignment horizontal="general" wrapText="0" readingOrder="0"/>
    </dxf>
  </rfmt>
  <rfmt sheetId="17" s="1" sqref="H18" start="0" length="0">
    <dxf>
      <font>
        <i val="0"/>
        <sz val="8"/>
        <color auto="1"/>
        <name val="Open Sans"/>
        <scheme val="none"/>
      </font>
      <numFmt numFmtId="4" formatCode="#,##0.00"/>
      <alignment horizontal="general" wrapText="0" readingOrder="0"/>
    </dxf>
  </rfmt>
  <rfmt sheetId="17" s="1" sqref="I18" start="0" length="0">
    <dxf>
      <font>
        <i val="0"/>
        <sz val="8"/>
        <color auto="1"/>
        <name val="Open Sans"/>
        <scheme val="none"/>
      </font>
      <numFmt numFmtId="4" formatCode="#,##0.00"/>
      <alignment horizontal="general" wrapText="0" readingOrder="0"/>
    </dxf>
  </rfmt>
  <rfmt sheetId="17" s="1" sqref="J18" start="0" length="0">
    <dxf>
      <font>
        <i val="0"/>
        <sz val="8"/>
        <color auto="1"/>
        <name val="Open Sans"/>
        <scheme val="none"/>
      </font>
      <numFmt numFmtId="4" formatCode="#,##0.00"/>
      <alignment horizontal="general" wrapText="0" readingOrder="0"/>
    </dxf>
  </rfmt>
  <rfmt sheetId="17" s="1" sqref="K18" start="0" length="0">
    <dxf>
      <font>
        <i val="0"/>
        <sz val="8"/>
        <color auto="1"/>
        <name val="Open Sans"/>
        <scheme val="none"/>
      </font>
      <numFmt numFmtId="4" formatCode="#,##0.00"/>
      <alignment horizontal="general" wrapText="0" readingOrder="0"/>
    </dxf>
  </rfmt>
  <rfmt sheetId="17" s="1" sqref="L18" start="0" length="0">
    <dxf>
      <font>
        <i val="0"/>
        <sz val="8"/>
        <color auto="1"/>
        <name val="Open Sans"/>
        <scheme val="none"/>
      </font>
      <numFmt numFmtId="4" formatCode="#,##0.00"/>
      <alignment horizontal="general" wrapText="0" readingOrder="0"/>
    </dxf>
  </rfmt>
  <rfmt sheetId="17" s="1" sqref="M18" start="0" length="0">
    <dxf>
      <font>
        <i val="0"/>
        <sz val="8"/>
        <color auto="1"/>
        <name val="Open Sans"/>
        <scheme val="none"/>
      </font>
      <numFmt numFmtId="4" formatCode="#,##0.00"/>
      <alignment horizontal="general" wrapText="0" readingOrder="0"/>
    </dxf>
  </rfmt>
  <rfmt sheetId="17" s="1" sqref="N18" start="0" length="0">
    <dxf>
      <font>
        <i val="0"/>
        <sz val="8"/>
        <color auto="1"/>
        <name val="Open Sans"/>
        <scheme val="none"/>
      </font>
      <numFmt numFmtId="4" formatCode="#,##0.00"/>
      <alignment horizontal="general" wrapText="0" readingOrder="0"/>
    </dxf>
  </rfmt>
  <rfmt sheetId="17" s="1" sqref="O18" start="0" length="0">
    <dxf>
      <font>
        <i val="0"/>
        <sz val="8"/>
        <color auto="1"/>
        <name val="Open Sans"/>
        <scheme val="none"/>
      </font>
      <numFmt numFmtId="4" formatCode="#,##0.00"/>
      <alignment horizontal="general" wrapText="0" readingOrder="0"/>
    </dxf>
  </rfmt>
  <rfmt sheetId="17" s="1" sqref="P18" start="0" length="0">
    <dxf>
      <font>
        <i val="0"/>
        <sz val="8"/>
        <color auto="1"/>
        <name val="Open Sans"/>
        <scheme val="none"/>
      </font>
      <numFmt numFmtId="4" formatCode="#,##0.00"/>
      <alignment horizontal="general" wrapText="0" readingOrder="0"/>
    </dxf>
  </rfmt>
  <rfmt sheetId="17" s="1" sqref="Q18" start="0" length="0">
    <dxf>
      <font>
        <i val="0"/>
        <sz val="8"/>
        <color auto="1"/>
        <name val="Open Sans"/>
        <scheme val="none"/>
      </font>
      <numFmt numFmtId="4" formatCode="#,##0.00"/>
      <alignment horizontal="general" wrapText="0" readingOrder="0"/>
    </dxf>
  </rfmt>
  <rfmt sheetId="17" s="1" sqref="R18" start="0" length="0">
    <dxf>
      <font>
        <i val="0"/>
        <sz val="8"/>
        <color auto="1"/>
        <name val="Open Sans"/>
        <scheme val="none"/>
      </font>
      <numFmt numFmtId="4" formatCode="#,##0.00"/>
      <alignment horizontal="general" wrapText="0" readingOrder="0"/>
    </dxf>
  </rfmt>
  <rfmt sheetId="17" sqref="E19" start="0" length="0">
    <dxf>
      <font>
        <sz val="8"/>
        <color auto="1"/>
        <name val="Open Sans"/>
        <scheme val="none"/>
      </font>
      <numFmt numFmtId="4" formatCode="#,##0.00"/>
      <alignment vertical="center" readingOrder="0"/>
    </dxf>
  </rfmt>
  <rfmt sheetId="17" sqref="F19" start="0" length="0">
    <dxf>
      <font>
        <sz val="8"/>
        <color auto="1"/>
        <name val="Open Sans"/>
        <scheme val="none"/>
      </font>
      <numFmt numFmtId="4" formatCode="#,##0.00"/>
      <alignment vertical="center" readingOrder="0"/>
    </dxf>
  </rfmt>
  <rfmt sheetId="17" sqref="G19" start="0" length="0">
    <dxf>
      <font>
        <sz val="8"/>
        <color auto="1"/>
        <name val="Open Sans"/>
        <scheme val="none"/>
      </font>
      <numFmt numFmtId="4" formatCode="#,##0.00"/>
      <alignment vertical="center" readingOrder="0"/>
    </dxf>
  </rfmt>
  <rfmt sheetId="17" sqref="H19" start="0" length="0">
    <dxf>
      <font>
        <sz val="8"/>
        <color auto="1"/>
        <name val="Open Sans"/>
        <scheme val="none"/>
      </font>
      <numFmt numFmtId="4" formatCode="#,##0.00"/>
      <alignment vertical="center" readingOrder="0"/>
    </dxf>
  </rfmt>
  <rfmt sheetId="17" s="1" sqref="I19" start="0" length="0">
    <dxf>
      <font>
        <i val="0"/>
        <sz val="8"/>
        <color auto="1"/>
        <name val="Open Sans"/>
        <scheme val="none"/>
      </font>
      <numFmt numFmtId="4" formatCode="#,##0.00"/>
      <alignment horizontal="general" wrapText="0" readingOrder="0"/>
    </dxf>
  </rfmt>
  <rfmt sheetId="17" s="1" sqref="J19" start="0" length="0">
    <dxf>
      <font>
        <i val="0"/>
        <sz val="8"/>
        <color auto="1"/>
        <name val="Open Sans"/>
        <scheme val="none"/>
      </font>
      <numFmt numFmtId="4" formatCode="#,##0.00"/>
      <alignment horizontal="general" wrapText="0" readingOrder="0"/>
    </dxf>
  </rfmt>
  <rfmt sheetId="17" s="1" sqref="K19" start="0" length="0">
    <dxf>
      <font>
        <i val="0"/>
        <sz val="8"/>
        <color auto="1"/>
        <name val="Open Sans"/>
        <scheme val="none"/>
      </font>
      <numFmt numFmtId="4" formatCode="#,##0.00"/>
      <alignment horizontal="general" wrapText="0" readingOrder="0"/>
    </dxf>
  </rfmt>
  <rfmt sheetId="17" s="1" sqref="L19" start="0" length="0">
    <dxf>
      <font>
        <i val="0"/>
        <sz val="8"/>
        <color auto="1"/>
        <name val="Open Sans"/>
        <scheme val="none"/>
      </font>
      <numFmt numFmtId="4" formatCode="#,##0.00"/>
      <alignment horizontal="general" wrapText="0" readingOrder="0"/>
    </dxf>
  </rfmt>
  <rfmt sheetId="17" s="1" sqref="M19" start="0" length="0">
    <dxf>
      <font>
        <i val="0"/>
        <sz val="8"/>
        <color auto="1"/>
        <name val="Open Sans"/>
        <scheme val="none"/>
      </font>
      <numFmt numFmtId="4" formatCode="#,##0.00"/>
      <alignment horizontal="general" wrapText="0" readingOrder="0"/>
    </dxf>
  </rfmt>
  <rfmt sheetId="17" s="1" sqref="N19" start="0" length="0">
    <dxf>
      <font>
        <i val="0"/>
        <sz val="8"/>
        <color auto="1"/>
        <name val="Open Sans"/>
        <scheme val="none"/>
      </font>
      <numFmt numFmtId="4" formatCode="#,##0.00"/>
      <alignment horizontal="general" wrapText="0" readingOrder="0"/>
    </dxf>
  </rfmt>
  <rfmt sheetId="17" s="1" sqref="O19" start="0" length="0">
    <dxf>
      <font>
        <i val="0"/>
        <sz val="8"/>
        <color auto="1"/>
        <name val="Open Sans"/>
        <scheme val="none"/>
      </font>
      <numFmt numFmtId="4" formatCode="#,##0.00"/>
      <alignment horizontal="general" wrapText="0" readingOrder="0"/>
    </dxf>
  </rfmt>
  <rfmt sheetId="17" s="1" sqref="P19" start="0" length="0">
    <dxf>
      <font>
        <i val="0"/>
        <sz val="8"/>
        <color auto="1"/>
        <name val="Open Sans"/>
        <scheme val="none"/>
      </font>
      <numFmt numFmtId="4" formatCode="#,##0.00"/>
      <alignment horizontal="general" wrapText="0" readingOrder="0"/>
    </dxf>
  </rfmt>
  <rfmt sheetId="17" s="1" sqref="Q19" start="0" length="0">
    <dxf>
      <font>
        <i val="0"/>
        <sz val="8"/>
        <color auto="1"/>
        <name val="Open Sans"/>
        <scheme val="none"/>
      </font>
      <numFmt numFmtId="4" formatCode="#,##0.00"/>
      <alignment horizontal="general" wrapText="0" readingOrder="0"/>
    </dxf>
  </rfmt>
  <rfmt sheetId="17" s="1" sqref="R19" start="0" length="0">
    <dxf>
      <font>
        <i val="0"/>
        <sz val="8"/>
        <color auto="1"/>
        <name val="Open Sans"/>
        <scheme val="none"/>
      </font>
      <numFmt numFmtId="4" formatCode="#,##0.00"/>
      <alignment horizontal="general" wrapText="0" readingOrder="0"/>
    </dxf>
  </rfmt>
  <rfmt sheetId="17" sqref="E20" start="0" length="0">
    <dxf>
      <font>
        <sz val="8"/>
        <color auto="1"/>
        <name val="Open Sans"/>
        <scheme val="none"/>
      </font>
      <numFmt numFmtId="4" formatCode="#,##0.00"/>
      <alignment vertical="center" readingOrder="0"/>
    </dxf>
  </rfmt>
  <rfmt sheetId="17" sqref="F20" start="0" length="0">
    <dxf>
      <font>
        <sz val="8"/>
        <color auto="1"/>
        <name val="Open Sans"/>
        <scheme val="none"/>
      </font>
      <numFmt numFmtId="4" formatCode="#,##0.00"/>
      <alignment vertical="center" readingOrder="0"/>
    </dxf>
  </rfmt>
  <rfmt sheetId="17" sqref="G20" start="0" length="0">
    <dxf>
      <font>
        <sz val="8"/>
        <color auto="1"/>
        <name val="Open Sans"/>
        <scheme val="none"/>
      </font>
      <numFmt numFmtId="4" formatCode="#,##0.00"/>
      <alignment vertical="center" readingOrder="0"/>
    </dxf>
  </rfmt>
  <rfmt sheetId="17" sqref="H20" start="0" length="0">
    <dxf>
      <font>
        <sz val="8"/>
        <color auto="1"/>
        <name val="Open Sans"/>
        <scheme val="none"/>
      </font>
      <numFmt numFmtId="4" formatCode="#,##0.00"/>
      <alignment vertical="center" readingOrder="0"/>
    </dxf>
  </rfmt>
  <rfmt sheetId="17" s="1" sqref="I20" start="0" length="0">
    <dxf>
      <font>
        <i val="0"/>
        <sz val="8"/>
        <color auto="1"/>
        <name val="Open Sans"/>
        <scheme val="none"/>
      </font>
      <numFmt numFmtId="4" formatCode="#,##0.00"/>
      <alignment horizontal="general" wrapText="0" readingOrder="0"/>
    </dxf>
  </rfmt>
  <rfmt sheetId="17" s="1" sqref="J20" start="0" length="0">
    <dxf>
      <font>
        <i val="0"/>
        <sz val="8"/>
        <color auto="1"/>
        <name val="Open Sans"/>
        <scheme val="none"/>
      </font>
      <numFmt numFmtId="4" formatCode="#,##0.00"/>
      <alignment horizontal="general" wrapText="0" readingOrder="0"/>
    </dxf>
  </rfmt>
  <rfmt sheetId="17" s="1" sqref="K20" start="0" length="0">
    <dxf>
      <font>
        <i val="0"/>
        <sz val="8"/>
        <color auto="1"/>
        <name val="Open Sans"/>
        <scheme val="none"/>
      </font>
      <numFmt numFmtId="4" formatCode="#,##0.00"/>
      <alignment horizontal="general" wrapText="0" readingOrder="0"/>
    </dxf>
  </rfmt>
  <rfmt sheetId="17" s="1" sqref="L20" start="0" length="0">
    <dxf>
      <font>
        <i val="0"/>
        <sz val="8"/>
        <color auto="1"/>
        <name val="Open Sans"/>
        <scheme val="none"/>
      </font>
      <numFmt numFmtId="4" formatCode="#,##0.00"/>
      <alignment horizontal="general" wrapText="0" readingOrder="0"/>
    </dxf>
  </rfmt>
  <rfmt sheetId="17" s="1" sqref="M20" start="0" length="0">
    <dxf>
      <font>
        <i val="0"/>
        <sz val="8"/>
        <color auto="1"/>
        <name val="Open Sans"/>
        <scheme val="none"/>
      </font>
      <numFmt numFmtId="4" formatCode="#,##0.00"/>
      <alignment horizontal="general" wrapText="0" readingOrder="0"/>
    </dxf>
  </rfmt>
  <rfmt sheetId="17" s="1" sqref="N20" start="0" length="0">
    <dxf>
      <font>
        <i val="0"/>
        <sz val="8"/>
        <color auto="1"/>
        <name val="Open Sans"/>
        <scheme val="none"/>
      </font>
      <numFmt numFmtId="4" formatCode="#,##0.00"/>
      <alignment horizontal="general" wrapText="0" readingOrder="0"/>
    </dxf>
  </rfmt>
  <rfmt sheetId="17" s="1" sqref="O20" start="0" length="0">
    <dxf>
      <font>
        <i val="0"/>
        <sz val="8"/>
        <color auto="1"/>
        <name val="Open Sans"/>
        <scheme val="none"/>
      </font>
      <numFmt numFmtId="4" formatCode="#,##0.00"/>
      <alignment horizontal="general" wrapText="0" readingOrder="0"/>
    </dxf>
  </rfmt>
  <rfmt sheetId="17" s="1" sqref="P20" start="0" length="0">
    <dxf>
      <font>
        <i val="0"/>
        <sz val="8"/>
        <color auto="1"/>
        <name val="Open Sans"/>
        <scheme val="none"/>
      </font>
      <numFmt numFmtId="4" formatCode="#,##0.00"/>
      <alignment horizontal="general" wrapText="0" readingOrder="0"/>
    </dxf>
  </rfmt>
  <rfmt sheetId="17" s="1" sqref="Q20" start="0" length="0">
    <dxf>
      <font>
        <i val="0"/>
        <sz val="8"/>
        <color auto="1"/>
        <name val="Open Sans"/>
        <scheme val="none"/>
      </font>
      <numFmt numFmtId="4" formatCode="#,##0.00"/>
      <alignment horizontal="general" wrapText="0" readingOrder="0"/>
    </dxf>
  </rfmt>
  <rfmt sheetId="17" s="1" sqref="R20" start="0" length="0">
    <dxf>
      <font>
        <i val="0"/>
        <sz val="8"/>
        <color auto="1"/>
        <name val="Open Sans"/>
        <scheme val="none"/>
      </font>
      <numFmt numFmtId="4" formatCode="#,##0.00"/>
      <alignment horizontal="general" wrapText="0" readingOrder="0"/>
    </dxf>
  </rfmt>
  <rfmt sheetId="17" sqref="E21" start="0" length="0">
    <dxf>
      <font>
        <sz val="8"/>
        <color auto="1"/>
        <name val="Open Sans"/>
        <scheme val="none"/>
      </font>
      <numFmt numFmtId="4" formatCode="#,##0.00"/>
      <alignment vertical="center" readingOrder="0"/>
    </dxf>
  </rfmt>
  <rfmt sheetId="17" sqref="F21" start="0" length="0">
    <dxf>
      <font>
        <sz val="8"/>
        <color auto="1"/>
        <name val="Open Sans"/>
        <scheme val="none"/>
      </font>
      <numFmt numFmtId="4" formatCode="#,##0.00"/>
      <alignment vertical="center" readingOrder="0"/>
    </dxf>
  </rfmt>
  <rfmt sheetId="17" sqref="G21" start="0" length="0">
    <dxf>
      <font>
        <sz val="8"/>
        <color auto="1"/>
        <name val="Open Sans"/>
        <scheme val="none"/>
      </font>
      <numFmt numFmtId="4" formatCode="#,##0.00"/>
      <alignment vertical="center" readingOrder="0"/>
    </dxf>
  </rfmt>
  <rfmt sheetId="17" sqref="H21" start="0" length="0">
    <dxf>
      <font>
        <sz val="8"/>
        <color auto="1"/>
        <name val="Open Sans"/>
        <scheme val="none"/>
      </font>
      <numFmt numFmtId="4" formatCode="#,##0.00"/>
      <alignment vertical="center" readingOrder="0"/>
    </dxf>
  </rfmt>
  <rfmt sheetId="17" s="1" sqref="I21" start="0" length="0">
    <dxf>
      <font>
        <i val="0"/>
        <sz val="8"/>
        <color auto="1"/>
        <name val="Open Sans"/>
        <scheme val="none"/>
      </font>
      <numFmt numFmtId="4" formatCode="#,##0.00"/>
      <alignment horizontal="general" wrapText="0" readingOrder="0"/>
    </dxf>
  </rfmt>
  <rfmt sheetId="17" s="1" sqref="J21" start="0" length="0">
    <dxf>
      <font>
        <i val="0"/>
        <sz val="8"/>
        <color auto="1"/>
        <name val="Open Sans"/>
        <scheme val="none"/>
      </font>
      <numFmt numFmtId="4" formatCode="#,##0.00"/>
      <alignment horizontal="general" wrapText="0" readingOrder="0"/>
    </dxf>
  </rfmt>
  <rfmt sheetId="17" s="1" sqref="K21" start="0" length="0">
    <dxf>
      <font>
        <i val="0"/>
        <sz val="8"/>
        <color auto="1"/>
        <name val="Open Sans"/>
        <scheme val="none"/>
      </font>
      <numFmt numFmtId="4" formatCode="#,##0.00"/>
      <alignment horizontal="general" wrapText="0" readingOrder="0"/>
    </dxf>
  </rfmt>
  <rfmt sheetId="17" s="1" sqref="L21" start="0" length="0">
    <dxf>
      <font>
        <i val="0"/>
        <sz val="8"/>
        <color auto="1"/>
        <name val="Open Sans"/>
        <scheme val="none"/>
      </font>
      <numFmt numFmtId="4" formatCode="#,##0.00"/>
      <alignment horizontal="general" wrapText="0" readingOrder="0"/>
    </dxf>
  </rfmt>
  <rfmt sheetId="17" s="1" sqref="M21" start="0" length="0">
    <dxf>
      <font>
        <i val="0"/>
        <sz val="8"/>
        <color auto="1"/>
        <name val="Open Sans"/>
        <scheme val="none"/>
      </font>
      <numFmt numFmtId="4" formatCode="#,##0.00"/>
      <alignment horizontal="general" wrapText="0" readingOrder="0"/>
    </dxf>
  </rfmt>
  <rfmt sheetId="17" s="1" sqref="N21" start="0" length="0">
    <dxf>
      <font>
        <i val="0"/>
        <sz val="8"/>
        <color auto="1"/>
        <name val="Open Sans"/>
        <scheme val="none"/>
      </font>
      <numFmt numFmtId="4" formatCode="#,##0.00"/>
      <alignment horizontal="general" wrapText="0" readingOrder="0"/>
    </dxf>
  </rfmt>
  <rfmt sheetId="17" s="1" sqref="O21" start="0" length="0">
    <dxf>
      <font>
        <i val="0"/>
        <sz val="8"/>
        <color auto="1"/>
        <name val="Open Sans"/>
        <scheme val="none"/>
      </font>
      <numFmt numFmtId="4" formatCode="#,##0.00"/>
      <alignment horizontal="general" wrapText="0" readingOrder="0"/>
    </dxf>
  </rfmt>
  <rfmt sheetId="17" s="1" sqref="P21" start="0" length="0">
    <dxf>
      <font>
        <i val="0"/>
        <sz val="8"/>
        <color auto="1"/>
        <name val="Open Sans"/>
        <scheme val="none"/>
      </font>
      <numFmt numFmtId="4" formatCode="#,##0.00"/>
      <alignment horizontal="general" wrapText="0" readingOrder="0"/>
    </dxf>
  </rfmt>
  <rfmt sheetId="17" s="1" sqref="Q21" start="0" length="0">
    <dxf>
      <font>
        <i val="0"/>
        <sz val="8"/>
        <color auto="1"/>
        <name val="Open Sans"/>
        <scheme val="none"/>
      </font>
      <numFmt numFmtId="4" formatCode="#,##0.00"/>
      <alignment horizontal="general" wrapText="0" readingOrder="0"/>
    </dxf>
  </rfmt>
  <rfmt sheetId="17" s="1" sqref="R21" start="0" length="0">
    <dxf>
      <font>
        <i val="0"/>
        <sz val="8"/>
        <color auto="1"/>
        <name val="Open Sans"/>
        <scheme val="none"/>
      </font>
      <numFmt numFmtId="4" formatCode="#,##0.00"/>
      <alignment horizontal="general" wrapText="0" readingOrder="0"/>
    </dxf>
  </rfmt>
  <rfmt sheetId="17" sqref="E22" start="0" length="0">
    <dxf>
      <font>
        <sz val="8"/>
        <color auto="1"/>
        <name val="Open Sans"/>
        <scheme val="none"/>
      </font>
      <numFmt numFmtId="4" formatCode="#,##0.00"/>
      <alignment vertical="center" readingOrder="0"/>
    </dxf>
  </rfmt>
  <rfmt sheetId="17" sqref="F22" start="0" length="0">
    <dxf>
      <font>
        <sz val="8"/>
        <color auto="1"/>
        <name val="Open Sans"/>
        <scheme val="none"/>
      </font>
      <numFmt numFmtId="4" formatCode="#,##0.00"/>
      <alignment vertical="center" readingOrder="0"/>
    </dxf>
  </rfmt>
  <rfmt sheetId="17" s="1" sqref="G22" start="0" length="0">
    <dxf>
      <font>
        <i val="0"/>
        <sz val="8"/>
        <color auto="1"/>
        <name val="Open Sans"/>
        <scheme val="none"/>
      </font>
      <numFmt numFmtId="4" formatCode="#,##0.00"/>
      <alignment horizontal="general" wrapText="0" readingOrder="0"/>
    </dxf>
  </rfmt>
  <rfmt sheetId="17" s="1" sqref="H22" start="0" length="0">
    <dxf>
      <font>
        <i val="0"/>
        <sz val="8"/>
        <color auto="1"/>
        <name val="Open Sans"/>
        <scheme val="none"/>
      </font>
      <numFmt numFmtId="4" formatCode="#,##0.00"/>
      <alignment horizontal="general" wrapText="0" readingOrder="0"/>
    </dxf>
  </rfmt>
  <rfmt sheetId="17" s="1" sqref="I22" start="0" length="0">
    <dxf>
      <font>
        <i val="0"/>
        <sz val="8"/>
        <color auto="1"/>
        <name val="Open Sans"/>
        <scheme val="none"/>
      </font>
      <numFmt numFmtId="4" formatCode="#,##0.00"/>
      <alignment horizontal="general" wrapText="0" readingOrder="0"/>
    </dxf>
  </rfmt>
  <rfmt sheetId="17" s="1" sqref="J22" start="0" length="0">
    <dxf>
      <font>
        <i val="0"/>
        <sz val="8"/>
        <color auto="1"/>
        <name val="Open Sans"/>
        <scheme val="none"/>
      </font>
      <numFmt numFmtId="4" formatCode="#,##0.00"/>
      <alignment horizontal="general" wrapText="0" readingOrder="0"/>
    </dxf>
  </rfmt>
  <rfmt sheetId="17" s="1" sqref="K22" start="0" length="0">
    <dxf>
      <font>
        <i val="0"/>
        <sz val="8"/>
        <color auto="1"/>
        <name val="Open Sans"/>
        <scheme val="none"/>
      </font>
      <numFmt numFmtId="4" formatCode="#,##0.00"/>
      <alignment horizontal="general" wrapText="0" readingOrder="0"/>
    </dxf>
  </rfmt>
  <rfmt sheetId="17" s="1" sqref="L22" start="0" length="0">
    <dxf>
      <font>
        <i val="0"/>
        <sz val="8"/>
        <color auto="1"/>
        <name val="Open Sans"/>
        <scheme val="none"/>
      </font>
      <numFmt numFmtId="4" formatCode="#,##0.00"/>
      <alignment horizontal="general" wrapText="0" readingOrder="0"/>
    </dxf>
  </rfmt>
  <rfmt sheetId="17" s="1" sqref="M22" start="0" length="0">
    <dxf>
      <font>
        <i val="0"/>
        <sz val="8"/>
        <color auto="1"/>
        <name val="Open Sans"/>
        <scheme val="none"/>
      </font>
      <numFmt numFmtId="4" formatCode="#,##0.00"/>
      <alignment horizontal="general" wrapText="0" readingOrder="0"/>
    </dxf>
  </rfmt>
  <rfmt sheetId="17" s="1" sqref="N22" start="0" length="0">
    <dxf>
      <font>
        <i val="0"/>
        <sz val="8"/>
        <color auto="1"/>
        <name val="Open Sans"/>
        <scheme val="none"/>
      </font>
      <numFmt numFmtId="4" formatCode="#,##0.00"/>
      <alignment horizontal="general" wrapText="0" readingOrder="0"/>
    </dxf>
  </rfmt>
  <rfmt sheetId="17" s="1" sqref="O22" start="0" length="0">
    <dxf>
      <font>
        <i val="0"/>
        <sz val="8"/>
        <color auto="1"/>
        <name val="Open Sans"/>
        <scheme val="none"/>
      </font>
      <numFmt numFmtId="4" formatCode="#,##0.00"/>
      <alignment horizontal="general" wrapText="0" readingOrder="0"/>
    </dxf>
  </rfmt>
  <rfmt sheetId="17" s="1" sqref="P22" start="0" length="0">
    <dxf>
      <font>
        <i val="0"/>
        <sz val="8"/>
        <color auto="1"/>
        <name val="Open Sans"/>
        <scheme val="none"/>
      </font>
      <numFmt numFmtId="4" formatCode="#,##0.00"/>
      <alignment horizontal="general" wrapText="0" readingOrder="0"/>
    </dxf>
  </rfmt>
  <rfmt sheetId="17" s="1" sqref="Q22" start="0" length="0">
    <dxf>
      <font>
        <i val="0"/>
        <sz val="8"/>
        <color auto="1"/>
        <name val="Open Sans"/>
        <scheme val="none"/>
      </font>
      <numFmt numFmtId="4" formatCode="#,##0.00"/>
      <alignment horizontal="general" wrapText="0" readingOrder="0"/>
    </dxf>
  </rfmt>
  <rfmt sheetId="17" s="1" sqref="R22" start="0" length="0">
    <dxf>
      <font>
        <i val="0"/>
        <sz val="8"/>
        <color auto="1"/>
        <name val="Open Sans"/>
        <scheme val="none"/>
      </font>
      <numFmt numFmtId="4" formatCode="#,##0.00"/>
      <alignment horizontal="general" wrapText="0" readingOrder="0"/>
    </dxf>
  </rfmt>
  <rfmt sheetId="17" sqref="E23" start="0" length="0">
    <dxf>
      <font>
        <sz val="8"/>
        <color auto="1"/>
        <name val="Open Sans"/>
        <scheme val="none"/>
      </font>
      <numFmt numFmtId="4" formatCode="#,##0.00"/>
      <alignment vertical="center" readingOrder="0"/>
    </dxf>
  </rfmt>
  <rfmt sheetId="17" sqref="F23" start="0" length="0">
    <dxf>
      <font>
        <sz val="8"/>
        <color auto="1"/>
        <name val="Open Sans"/>
        <scheme val="none"/>
      </font>
      <numFmt numFmtId="4" formatCode="#,##0.00"/>
      <alignment vertical="center" readingOrder="0"/>
    </dxf>
  </rfmt>
  <rfmt sheetId="17" s="1" sqref="G23" start="0" length="0">
    <dxf>
      <font>
        <i val="0"/>
        <sz val="8"/>
        <color auto="1"/>
        <name val="Open Sans"/>
        <scheme val="none"/>
      </font>
      <numFmt numFmtId="4" formatCode="#,##0.00"/>
      <alignment horizontal="general" wrapText="0" readingOrder="0"/>
    </dxf>
  </rfmt>
  <rfmt sheetId="17" s="1" sqref="H23" start="0" length="0">
    <dxf>
      <font>
        <i val="0"/>
        <sz val="8"/>
        <color auto="1"/>
        <name val="Open Sans"/>
        <scheme val="none"/>
      </font>
      <numFmt numFmtId="4" formatCode="#,##0.00"/>
      <alignment horizontal="general" wrapText="0" readingOrder="0"/>
    </dxf>
  </rfmt>
  <rfmt sheetId="17" s="1" sqref="I23" start="0" length="0">
    <dxf>
      <font>
        <i val="0"/>
        <sz val="8"/>
        <color auto="1"/>
        <name val="Open Sans"/>
        <scheme val="none"/>
      </font>
      <numFmt numFmtId="4" formatCode="#,##0.00"/>
      <alignment horizontal="general" wrapText="0" readingOrder="0"/>
    </dxf>
  </rfmt>
  <rfmt sheetId="17" s="1" sqref="J23" start="0" length="0">
    <dxf>
      <font>
        <i val="0"/>
        <sz val="8"/>
        <color auto="1"/>
        <name val="Open Sans"/>
        <scheme val="none"/>
      </font>
      <numFmt numFmtId="4" formatCode="#,##0.00"/>
      <alignment horizontal="general" wrapText="0" readingOrder="0"/>
    </dxf>
  </rfmt>
  <rfmt sheetId="17" s="1" sqref="K23" start="0" length="0">
    <dxf>
      <font>
        <i val="0"/>
        <sz val="8"/>
        <color auto="1"/>
        <name val="Open Sans"/>
        <scheme val="none"/>
      </font>
      <numFmt numFmtId="4" formatCode="#,##0.00"/>
      <alignment horizontal="general" wrapText="0" readingOrder="0"/>
    </dxf>
  </rfmt>
  <rfmt sheetId="17" s="1" sqref="L23" start="0" length="0">
    <dxf>
      <font>
        <i val="0"/>
        <sz val="8"/>
        <color auto="1"/>
        <name val="Open Sans"/>
        <scheme val="none"/>
      </font>
      <numFmt numFmtId="4" formatCode="#,##0.00"/>
      <alignment horizontal="general" wrapText="0" readingOrder="0"/>
    </dxf>
  </rfmt>
  <rfmt sheetId="17" s="1" sqref="M23" start="0" length="0">
    <dxf>
      <font>
        <i val="0"/>
        <sz val="8"/>
        <color auto="1"/>
        <name val="Open Sans"/>
        <scheme val="none"/>
      </font>
      <numFmt numFmtId="4" formatCode="#,##0.00"/>
      <alignment horizontal="general" wrapText="0" readingOrder="0"/>
    </dxf>
  </rfmt>
  <rfmt sheetId="17" s="1" sqref="N23" start="0" length="0">
    <dxf>
      <font>
        <i val="0"/>
        <sz val="8"/>
        <color auto="1"/>
        <name val="Open Sans"/>
        <scheme val="none"/>
      </font>
      <numFmt numFmtId="4" formatCode="#,##0.00"/>
      <alignment horizontal="general" wrapText="0" readingOrder="0"/>
    </dxf>
  </rfmt>
  <rfmt sheetId="17" s="1" sqref="O23" start="0" length="0">
    <dxf>
      <font>
        <i val="0"/>
        <sz val="8"/>
        <color auto="1"/>
        <name val="Open Sans"/>
        <scheme val="none"/>
      </font>
      <numFmt numFmtId="4" formatCode="#,##0.00"/>
      <alignment horizontal="general" wrapText="0" readingOrder="0"/>
    </dxf>
  </rfmt>
  <rfmt sheetId="17" s="1" sqref="P23" start="0" length="0">
    <dxf>
      <font>
        <i val="0"/>
        <sz val="8"/>
        <color auto="1"/>
        <name val="Open Sans"/>
        <scheme val="none"/>
      </font>
      <numFmt numFmtId="4" formatCode="#,##0.00"/>
      <alignment horizontal="general" wrapText="0" readingOrder="0"/>
    </dxf>
  </rfmt>
  <rfmt sheetId="17" s="1" sqref="Q23" start="0" length="0">
    <dxf>
      <font>
        <i val="0"/>
        <sz val="8"/>
        <color auto="1"/>
        <name val="Open Sans"/>
        <scheme val="none"/>
      </font>
      <numFmt numFmtId="4" formatCode="#,##0.00"/>
      <alignment horizontal="general" wrapText="0" readingOrder="0"/>
    </dxf>
  </rfmt>
  <rfmt sheetId="17" s="1" sqref="R23" start="0" length="0">
    <dxf>
      <font>
        <i val="0"/>
        <sz val="8"/>
        <color auto="1"/>
        <name val="Open Sans"/>
        <scheme val="none"/>
      </font>
      <numFmt numFmtId="4" formatCode="#,##0.00"/>
      <alignment horizontal="general" wrapText="0" readingOrder="0"/>
    </dxf>
  </rfmt>
  <rfmt sheetId="17" sqref="E24" start="0" length="0">
    <dxf>
      <font>
        <sz val="8"/>
        <color auto="1"/>
        <name val="Open Sans"/>
        <scheme val="none"/>
      </font>
      <numFmt numFmtId="4" formatCode="#,##0.00"/>
      <alignment vertical="center" readingOrder="0"/>
    </dxf>
  </rfmt>
  <rfmt sheetId="17" sqref="F24" start="0" length="0">
    <dxf>
      <font>
        <sz val="8"/>
        <color auto="1"/>
        <name val="Open Sans"/>
        <scheme val="none"/>
      </font>
      <numFmt numFmtId="4" formatCode="#,##0.00"/>
      <alignment vertical="center" readingOrder="0"/>
    </dxf>
  </rfmt>
  <rfmt sheetId="17" s="1" sqref="G24" start="0" length="0">
    <dxf>
      <font>
        <i val="0"/>
        <sz val="8"/>
        <color auto="1"/>
        <name val="Open Sans"/>
        <scheme val="none"/>
      </font>
      <numFmt numFmtId="4" formatCode="#,##0.00"/>
      <alignment horizontal="general" wrapText="0" readingOrder="0"/>
    </dxf>
  </rfmt>
  <rfmt sheetId="17" s="1" sqref="H24" start="0" length="0">
    <dxf>
      <font>
        <i val="0"/>
        <sz val="8"/>
        <color auto="1"/>
        <name val="Open Sans"/>
        <scheme val="none"/>
      </font>
      <numFmt numFmtId="4" formatCode="#,##0.00"/>
      <alignment horizontal="general" wrapText="0" readingOrder="0"/>
    </dxf>
  </rfmt>
  <rfmt sheetId="17" s="1" sqref="I24" start="0" length="0">
    <dxf>
      <font>
        <i val="0"/>
        <sz val="8"/>
        <color auto="1"/>
        <name val="Open Sans"/>
        <scheme val="none"/>
      </font>
      <numFmt numFmtId="4" formatCode="#,##0.00"/>
      <alignment horizontal="general" wrapText="0" readingOrder="0"/>
    </dxf>
  </rfmt>
  <rfmt sheetId="17" s="1" sqref="J24" start="0" length="0">
    <dxf>
      <font>
        <i val="0"/>
        <sz val="8"/>
        <color auto="1"/>
        <name val="Open Sans"/>
        <scheme val="none"/>
      </font>
      <numFmt numFmtId="4" formatCode="#,##0.00"/>
      <alignment horizontal="general" wrapText="0" readingOrder="0"/>
    </dxf>
  </rfmt>
  <rfmt sheetId="17" s="1" sqref="K24" start="0" length="0">
    <dxf>
      <font>
        <i val="0"/>
        <sz val="8"/>
        <color auto="1"/>
        <name val="Open Sans"/>
        <scheme val="none"/>
      </font>
      <numFmt numFmtId="4" formatCode="#,##0.00"/>
      <alignment horizontal="general" wrapText="0" readingOrder="0"/>
    </dxf>
  </rfmt>
  <rfmt sheetId="17" s="1" sqref="L24" start="0" length="0">
    <dxf>
      <font>
        <i val="0"/>
        <sz val="8"/>
        <color auto="1"/>
        <name val="Open Sans"/>
        <scheme val="none"/>
      </font>
      <numFmt numFmtId="4" formatCode="#,##0.00"/>
      <alignment horizontal="general" wrapText="0" readingOrder="0"/>
    </dxf>
  </rfmt>
  <rfmt sheetId="17" s="1" sqref="M24" start="0" length="0">
    <dxf>
      <font>
        <i val="0"/>
        <sz val="8"/>
        <color auto="1"/>
        <name val="Open Sans"/>
        <scheme val="none"/>
      </font>
      <numFmt numFmtId="4" formatCode="#,##0.00"/>
      <alignment horizontal="general" wrapText="0" readingOrder="0"/>
    </dxf>
  </rfmt>
  <rfmt sheetId="17" s="1" sqref="N24" start="0" length="0">
    <dxf>
      <font>
        <i val="0"/>
        <sz val="8"/>
        <color auto="1"/>
        <name val="Open Sans"/>
        <scheme val="none"/>
      </font>
      <numFmt numFmtId="4" formatCode="#,##0.00"/>
      <alignment horizontal="general" wrapText="0" readingOrder="0"/>
    </dxf>
  </rfmt>
  <rfmt sheetId="17" s="1" sqref="O24" start="0" length="0">
    <dxf>
      <font>
        <i val="0"/>
        <sz val="8"/>
        <color auto="1"/>
        <name val="Open Sans"/>
        <scheme val="none"/>
      </font>
      <numFmt numFmtId="4" formatCode="#,##0.00"/>
      <alignment horizontal="general" wrapText="0" readingOrder="0"/>
    </dxf>
  </rfmt>
  <rfmt sheetId="17" s="1" sqref="P24" start="0" length="0">
    <dxf>
      <font>
        <i val="0"/>
        <sz val="8"/>
        <color auto="1"/>
        <name val="Open Sans"/>
        <scheme val="none"/>
      </font>
      <numFmt numFmtId="4" formatCode="#,##0.00"/>
      <alignment horizontal="general" wrapText="0" readingOrder="0"/>
    </dxf>
  </rfmt>
  <rfmt sheetId="17" s="1" sqref="Q24" start="0" length="0">
    <dxf>
      <font>
        <i val="0"/>
        <sz val="8"/>
        <color auto="1"/>
        <name val="Open Sans"/>
        <scheme val="none"/>
      </font>
      <numFmt numFmtId="4" formatCode="#,##0.00"/>
      <alignment horizontal="general" wrapText="0" readingOrder="0"/>
    </dxf>
  </rfmt>
  <rfmt sheetId="17" s="1" sqref="R24" start="0" length="0">
    <dxf>
      <font>
        <i val="0"/>
        <sz val="8"/>
        <color auto="1"/>
        <name val="Open Sans"/>
        <scheme val="none"/>
      </font>
      <numFmt numFmtId="4" formatCode="#,##0.00"/>
      <alignment horizontal="general" wrapText="0" readingOrder="0"/>
    </dxf>
  </rfmt>
  <rfmt sheetId="17" sqref="E25" start="0" length="0">
    <dxf>
      <font>
        <sz val="8"/>
        <color auto="1"/>
        <name val="Open Sans"/>
        <scheme val="none"/>
      </font>
      <numFmt numFmtId="4" formatCode="#,##0.00"/>
      <alignment vertical="center" readingOrder="0"/>
    </dxf>
  </rfmt>
  <rfmt sheetId="17" sqref="F25" start="0" length="0">
    <dxf>
      <font>
        <sz val="8"/>
        <color auto="1"/>
        <name val="Open Sans"/>
        <scheme val="none"/>
      </font>
      <numFmt numFmtId="4" formatCode="#,##0.00"/>
      <alignment vertical="center" readingOrder="0"/>
    </dxf>
  </rfmt>
  <rfmt sheetId="17" s="1" sqref="G25" start="0" length="0">
    <dxf>
      <font>
        <i val="0"/>
        <sz val="8"/>
        <color auto="1"/>
        <name val="Open Sans"/>
        <scheme val="none"/>
      </font>
      <numFmt numFmtId="4" formatCode="#,##0.00"/>
      <alignment horizontal="general" wrapText="0" readingOrder="0"/>
    </dxf>
  </rfmt>
  <rfmt sheetId="17" s="1" sqref="H25" start="0" length="0">
    <dxf>
      <font>
        <i val="0"/>
        <sz val="8"/>
        <color auto="1"/>
        <name val="Open Sans"/>
        <scheme val="none"/>
      </font>
      <numFmt numFmtId="4" formatCode="#,##0.00"/>
      <alignment horizontal="general" wrapText="0" readingOrder="0"/>
    </dxf>
  </rfmt>
  <rfmt sheetId="17" s="1" sqref="I25" start="0" length="0">
    <dxf>
      <font>
        <i val="0"/>
        <sz val="8"/>
        <color auto="1"/>
        <name val="Open Sans"/>
        <scheme val="none"/>
      </font>
      <numFmt numFmtId="4" formatCode="#,##0.00"/>
      <alignment horizontal="general" wrapText="0" readingOrder="0"/>
    </dxf>
  </rfmt>
  <rfmt sheetId="17" s="1" sqref="J25" start="0" length="0">
    <dxf>
      <font>
        <i val="0"/>
        <sz val="8"/>
        <color auto="1"/>
        <name val="Open Sans"/>
        <scheme val="none"/>
      </font>
      <numFmt numFmtId="4" formatCode="#,##0.00"/>
      <alignment horizontal="general" wrapText="0" readingOrder="0"/>
    </dxf>
  </rfmt>
  <rfmt sheetId="17" s="1" sqref="K25" start="0" length="0">
    <dxf>
      <font>
        <i val="0"/>
        <sz val="8"/>
        <color auto="1"/>
        <name val="Open Sans"/>
        <scheme val="none"/>
      </font>
      <numFmt numFmtId="4" formatCode="#,##0.00"/>
      <alignment horizontal="general" wrapText="0" readingOrder="0"/>
    </dxf>
  </rfmt>
  <rfmt sheetId="17" s="1" sqref="L25" start="0" length="0">
    <dxf>
      <font>
        <i val="0"/>
        <sz val="8"/>
        <color auto="1"/>
        <name val="Open Sans"/>
        <scheme val="none"/>
      </font>
      <numFmt numFmtId="4" formatCode="#,##0.00"/>
      <alignment horizontal="general" wrapText="0" readingOrder="0"/>
    </dxf>
  </rfmt>
  <rfmt sheetId="17" s="1" sqref="M25" start="0" length="0">
    <dxf>
      <font>
        <i val="0"/>
        <sz val="8"/>
        <color auto="1"/>
        <name val="Open Sans"/>
        <scheme val="none"/>
      </font>
      <numFmt numFmtId="4" formatCode="#,##0.00"/>
      <alignment horizontal="general" wrapText="0" readingOrder="0"/>
    </dxf>
  </rfmt>
  <rfmt sheetId="17" s="1" sqref="N25" start="0" length="0">
    <dxf>
      <font>
        <i val="0"/>
        <sz val="8"/>
        <color auto="1"/>
        <name val="Open Sans"/>
        <scheme val="none"/>
      </font>
      <numFmt numFmtId="4" formatCode="#,##0.00"/>
      <alignment horizontal="general" wrapText="0" readingOrder="0"/>
    </dxf>
  </rfmt>
  <rfmt sheetId="17" s="1" sqref="O25" start="0" length="0">
    <dxf>
      <font>
        <i val="0"/>
        <sz val="8"/>
        <color auto="1"/>
        <name val="Open Sans"/>
        <scheme val="none"/>
      </font>
      <numFmt numFmtId="4" formatCode="#,##0.00"/>
      <alignment horizontal="general" wrapText="0" readingOrder="0"/>
    </dxf>
  </rfmt>
  <rfmt sheetId="17" s="1" sqref="P25" start="0" length="0">
    <dxf>
      <font>
        <i val="0"/>
        <sz val="8"/>
        <color auto="1"/>
        <name val="Open Sans"/>
        <scheme val="none"/>
      </font>
      <numFmt numFmtId="4" formatCode="#,##0.00"/>
      <alignment horizontal="general" wrapText="0" readingOrder="0"/>
    </dxf>
  </rfmt>
  <rfmt sheetId="17" s="1" sqref="Q25" start="0" length="0">
    <dxf>
      <font>
        <i val="0"/>
        <sz val="8"/>
        <color auto="1"/>
        <name val="Open Sans"/>
        <scheme val="none"/>
      </font>
      <numFmt numFmtId="4" formatCode="#,##0.00"/>
      <alignment horizontal="general" wrapText="0" readingOrder="0"/>
    </dxf>
  </rfmt>
  <rfmt sheetId="17" s="1" sqref="R25" start="0" length="0">
    <dxf>
      <font>
        <i val="0"/>
        <sz val="8"/>
        <color auto="1"/>
        <name val="Open Sans"/>
        <scheme val="none"/>
      </font>
      <numFmt numFmtId="4" formatCode="#,##0.00"/>
      <alignment horizontal="general" wrapText="0" readingOrder="0"/>
    </dxf>
  </rfmt>
  <rfmt sheetId="17" sqref="E26" start="0" length="0">
    <dxf>
      <font>
        <sz val="8"/>
        <color auto="1"/>
        <name val="Open Sans"/>
        <scheme val="none"/>
      </font>
      <numFmt numFmtId="4" formatCode="#,##0.00"/>
      <alignment vertical="center" readingOrder="0"/>
    </dxf>
  </rfmt>
  <rfmt sheetId="17" sqref="F26" start="0" length="0">
    <dxf>
      <font>
        <sz val="8"/>
        <color auto="1"/>
        <name val="Open Sans"/>
        <scheme val="none"/>
      </font>
      <numFmt numFmtId="4" formatCode="#,##0.00"/>
      <alignment vertical="center" readingOrder="0"/>
    </dxf>
  </rfmt>
  <rfmt sheetId="17" s="1" sqref="G26" start="0" length="0">
    <dxf>
      <font>
        <i val="0"/>
        <sz val="8"/>
        <color auto="1"/>
        <name val="Open Sans"/>
        <scheme val="none"/>
      </font>
      <numFmt numFmtId="4" formatCode="#,##0.00"/>
      <alignment horizontal="general" wrapText="0" readingOrder="0"/>
    </dxf>
  </rfmt>
  <rfmt sheetId="17" s="1" sqref="H26" start="0" length="0">
    <dxf>
      <font>
        <i val="0"/>
        <sz val="8"/>
        <color auto="1"/>
        <name val="Open Sans"/>
        <scheme val="none"/>
      </font>
      <numFmt numFmtId="4" formatCode="#,##0.00"/>
      <alignment horizontal="general" wrapText="0" readingOrder="0"/>
    </dxf>
  </rfmt>
  <rfmt sheetId="17" s="1" sqref="I26" start="0" length="0">
    <dxf>
      <font>
        <i val="0"/>
        <sz val="8"/>
        <color auto="1"/>
        <name val="Open Sans"/>
        <scheme val="none"/>
      </font>
      <numFmt numFmtId="4" formatCode="#,##0.00"/>
      <alignment horizontal="general" wrapText="0" readingOrder="0"/>
    </dxf>
  </rfmt>
  <rfmt sheetId="17" s="1" sqref="J26" start="0" length="0">
    <dxf>
      <font>
        <i val="0"/>
        <sz val="8"/>
        <color auto="1"/>
        <name val="Open Sans"/>
        <scheme val="none"/>
      </font>
      <numFmt numFmtId="4" formatCode="#,##0.00"/>
      <alignment horizontal="general" wrapText="0" readingOrder="0"/>
    </dxf>
  </rfmt>
  <rfmt sheetId="17" s="1" sqref="K26" start="0" length="0">
    <dxf>
      <font>
        <i val="0"/>
        <sz val="8"/>
        <color auto="1"/>
        <name val="Open Sans"/>
        <scheme val="none"/>
      </font>
      <numFmt numFmtId="4" formatCode="#,##0.00"/>
      <alignment horizontal="general" wrapText="0" readingOrder="0"/>
    </dxf>
  </rfmt>
  <rfmt sheetId="17" s="1" sqref="L26" start="0" length="0">
    <dxf>
      <font>
        <i val="0"/>
        <sz val="8"/>
        <color auto="1"/>
        <name val="Open Sans"/>
        <scheme val="none"/>
      </font>
      <numFmt numFmtId="4" formatCode="#,##0.00"/>
      <alignment horizontal="general" wrapText="0" readingOrder="0"/>
    </dxf>
  </rfmt>
  <rfmt sheetId="17" s="1" sqref="M26" start="0" length="0">
    <dxf>
      <font>
        <i val="0"/>
        <sz val="8"/>
        <color auto="1"/>
        <name val="Open Sans"/>
        <scheme val="none"/>
      </font>
      <numFmt numFmtId="4" formatCode="#,##0.00"/>
      <alignment horizontal="general" wrapText="0" readingOrder="0"/>
    </dxf>
  </rfmt>
  <rfmt sheetId="17" s="1" sqref="N26" start="0" length="0">
    <dxf>
      <font>
        <i val="0"/>
        <sz val="8"/>
        <color auto="1"/>
        <name val="Open Sans"/>
        <scheme val="none"/>
      </font>
      <numFmt numFmtId="4" formatCode="#,##0.00"/>
      <alignment horizontal="general" wrapText="0" readingOrder="0"/>
    </dxf>
  </rfmt>
  <rfmt sheetId="17" s="1" sqref="O26" start="0" length="0">
    <dxf>
      <font>
        <i val="0"/>
        <sz val="8"/>
        <color auto="1"/>
        <name val="Open Sans"/>
        <scheme val="none"/>
      </font>
      <numFmt numFmtId="4" formatCode="#,##0.00"/>
      <alignment horizontal="general" wrapText="0" readingOrder="0"/>
    </dxf>
  </rfmt>
  <rfmt sheetId="17" s="1" sqref="P26" start="0" length="0">
    <dxf>
      <font>
        <i val="0"/>
        <sz val="8"/>
        <color auto="1"/>
        <name val="Open Sans"/>
        <scheme val="none"/>
      </font>
      <numFmt numFmtId="4" formatCode="#,##0.00"/>
      <alignment horizontal="general" wrapText="0" readingOrder="0"/>
    </dxf>
  </rfmt>
  <rfmt sheetId="17" s="1" sqref="Q26" start="0" length="0">
    <dxf>
      <font>
        <i val="0"/>
        <sz val="8"/>
        <color auto="1"/>
        <name val="Open Sans"/>
        <scheme val="none"/>
      </font>
      <numFmt numFmtId="4" formatCode="#,##0.00"/>
      <alignment horizontal="general" wrapText="0" readingOrder="0"/>
    </dxf>
  </rfmt>
  <rfmt sheetId="17" s="1" sqref="R26" start="0" length="0">
    <dxf>
      <font>
        <i val="0"/>
        <sz val="8"/>
        <color auto="1"/>
        <name val="Open Sans"/>
        <scheme val="none"/>
      </font>
      <numFmt numFmtId="4" formatCode="#,##0.00"/>
      <alignment horizontal="general" wrapText="0" readingOrder="0"/>
    </dxf>
  </rfmt>
  <rfmt sheetId="17" sqref="E27" start="0" length="0">
    <dxf>
      <font>
        <sz val="8"/>
        <color auto="1"/>
        <name val="Open Sans"/>
        <scheme val="none"/>
      </font>
      <numFmt numFmtId="4" formatCode="#,##0.00"/>
      <alignment vertical="center" readingOrder="0"/>
    </dxf>
  </rfmt>
  <rfmt sheetId="17" sqref="F27" start="0" length="0">
    <dxf>
      <font>
        <sz val="8"/>
        <color auto="1"/>
        <name val="Open Sans"/>
        <scheme val="none"/>
      </font>
      <numFmt numFmtId="4" formatCode="#,##0.00"/>
      <alignment vertical="center" readingOrder="0"/>
    </dxf>
  </rfmt>
  <rfmt sheetId="17" s="1" sqref="G27" start="0" length="0">
    <dxf>
      <font>
        <i val="0"/>
        <sz val="8"/>
        <color auto="1"/>
        <name val="Open Sans"/>
        <scheme val="none"/>
      </font>
      <numFmt numFmtId="4" formatCode="#,##0.00"/>
      <alignment horizontal="general" wrapText="0" readingOrder="0"/>
    </dxf>
  </rfmt>
  <rfmt sheetId="17" s="1" sqref="H27" start="0" length="0">
    <dxf>
      <font>
        <i val="0"/>
        <sz val="8"/>
        <color auto="1"/>
        <name val="Open Sans"/>
        <scheme val="none"/>
      </font>
      <numFmt numFmtId="4" formatCode="#,##0.00"/>
      <alignment horizontal="general" wrapText="0" readingOrder="0"/>
    </dxf>
  </rfmt>
  <rfmt sheetId="17" s="1" sqref="I27" start="0" length="0">
    <dxf>
      <font>
        <i val="0"/>
        <sz val="8"/>
        <color auto="1"/>
        <name val="Open Sans"/>
        <scheme val="none"/>
      </font>
      <numFmt numFmtId="4" formatCode="#,##0.00"/>
      <alignment horizontal="general" wrapText="0" readingOrder="0"/>
    </dxf>
  </rfmt>
  <rfmt sheetId="17" s="1" sqref="J27" start="0" length="0">
    <dxf>
      <font>
        <i val="0"/>
        <sz val="8"/>
        <color auto="1"/>
        <name val="Open Sans"/>
        <scheme val="none"/>
      </font>
      <numFmt numFmtId="4" formatCode="#,##0.00"/>
      <alignment horizontal="general" wrapText="0" readingOrder="0"/>
    </dxf>
  </rfmt>
  <rfmt sheetId="17" s="1" sqref="K27" start="0" length="0">
    <dxf>
      <font>
        <i val="0"/>
        <sz val="8"/>
        <color auto="1"/>
        <name val="Open Sans"/>
        <scheme val="none"/>
      </font>
      <numFmt numFmtId="4" formatCode="#,##0.00"/>
      <alignment horizontal="general" wrapText="0" readingOrder="0"/>
    </dxf>
  </rfmt>
  <rfmt sheetId="17" s="1" sqref="L27" start="0" length="0">
    <dxf>
      <font>
        <i val="0"/>
        <sz val="8"/>
        <color auto="1"/>
        <name val="Open Sans"/>
        <scheme val="none"/>
      </font>
      <numFmt numFmtId="4" formatCode="#,##0.00"/>
      <alignment horizontal="general" wrapText="0" readingOrder="0"/>
    </dxf>
  </rfmt>
  <rfmt sheetId="17" s="1" sqref="M27" start="0" length="0">
    <dxf>
      <font>
        <i val="0"/>
        <sz val="8"/>
        <color auto="1"/>
        <name val="Open Sans"/>
        <scheme val="none"/>
      </font>
      <numFmt numFmtId="4" formatCode="#,##0.00"/>
      <alignment horizontal="general" wrapText="0" readingOrder="0"/>
    </dxf>
  </rfmt>
  <rfmt sheetId="17" s="1" sqref="N27" start="0" length="0">
    <dxf>
      <font>
        <i val="0"/>
        <sz val="8"/>
        <color auto="1"/>
        <name val="Open Sans"/>
        <scheme val="none"/>
      </font>
      <numFmt numFmtId="4" formatCode="#,##0.00"/>
      <alignment horizontal="general" wrapText="0" readingOrder="0"/>
    </dxf>
  </rfmt>
  <rfmt sheetId="17" s="1" sqref="O27" start="0" length="0">
    <dxf>
      <font>
        <i val="0"/>
        <sz val="8"/>
        <color auto="1"/>
        <name val="Open Sans"/>
        <scheme val="none"/>
      </font>
      <numFmt numFmtId="4" formatCode="#,##0.00"/>
      <alignment horizontal="general" wrapText="0" readingOrder="0"/>
    </dxf>
  </rfmt>
  <rfmt sheetId="17" s="1" sqref="P27" start="0" length="0">
    <dxf>
      <font>
        <i val="0"/>
        <sz val="8"/>
        <color auto="1"/>
        <name val="Open Sans"/>
        <scheme val="none"/>
      </font>
      <numFmt numFmtId="4" formatCode="#,##0.00"/>
      <alignment horizontal="general" wrapText="0" readingOrder="0"/>
    </dxf>
  </rfmt>
  <rfmt sheetId="17" s="1" sqref="Q27" start="0" length="0">
    <dxf>
      <font>
        <i val="0"/>
        <sz val="8"/>
        <color auto="1"/>
        <name val="Open Sans"/>
        <scheme val="none"/>
      </font>
      <numFmt numFmtId="4" formatCode="#,##0.00"/>
      <alignment horizontal="general" wrapText="0" readingOrder="0"/>
    </dxf>
  </rfmt>
  <rfmt sheetId="17" s="1" sqref="R27" start="0" length="0">
    <dxf>
      <font>
        <i val="0"/>
        <sz val="8"/>
        <color auto="1"/>
        <name val="Open Sans"/>
        <scheme val="none"/>
      </font>
      <numFmt numFmtId="4" formatCode="#,##0.00"/>
      <alignment horizontal="general" wrapText="0" readingOrder="0"/>
    </dxf>
  </rfmt>
  <rfmt sheetId="17" sqref="E28" start="0" length="0">
    <dxf>
      <font>
        <sz val="8"/>
        <color auto="1"/>
        <name val="Open Sans"/>
        <scheme val="none"/>
      </font>
      <numFmt numFmtId="4" formatCode="#,##0.00"/>
      <alignment vertical="center" readingOrder="0"/>
    </dxf>
  </rfmt>
  <rfmt sheetId="17" sqref="F28" start="0" length="0">
    <dxf>
      <font>
        <sz val="8"/>
        <color auto="1"/>
        <name val="Open Sans"/>
        <scheme val="none"/>
      </font>
      <numFmt numFmtId="4" formatCode="#,##0.00"/>
      <alignment vertical="center" readingOrder="0"/>
    </dxf>
  </rfmt>
  <rfmt sheetId="17" sqref="G28" start="0" length="0">
    <dxf>
      <font>
        <sz val="8"/>
        <color auto="1"/>
        <name val="Open Sans"/>
        <scheme val="none"/>
      </font>
      <numFmt numFmtId="4" formatCode="#,##0.00"/>
      <alignment vertical="center" readingOrder="0"/>
    </dxf>
  </rfmt>
  <rfmt sheetId="17" sqref="H28" start="0" length="0">
    <dxf>
      <font>
        <sz val="8"/>
        <color auto="1"/>
        <name val="Open Sans"/>
        <scheme val="none"/>
      </font>
      <numFmt numFmtId="4" formatCode="#,##0.00"/>
      <alignment vertical="center" readingOrder="0"/>
    </dxf>
  </rfmt>
  <rfmt sheetId="17" sqref="I28" start="0" length="0">
    <dxf>
      <font>
        <sz val="8"/>
        <color auto="1"/>
        <name val="Open Sans"/>
        <scheme val="none"/>
      </font>
      <numFmt numFmtId="4" formatCode="#,##0.00"/>
      <alignment vertical="center" readingOrder="0"/>
    </dxf>
  </rfmt>
  <rfmt sheetId="17" sqref="J28" start="0" length="0">
    <dxf>
      <font>
        <sz val="8"/>
        <color auto="1"/>
        <name val="Open Sans"/>
        <scheme val="none"/>
      </font>
      <numFmt numFmtId="4" formatCode="#,##0.00"/>
      <alignment vertical="center" readingOrder="0"/>
    </dxf>
  </rfmt>
  <rfmt sheetId="17" sqref="K28" start="0" length="0">
    <dxf>
      <font>
        <sz val="8"/>
        <color auto="1"/>
        <name val="Open Sans"/>
        <scheme val="none"/>
      </font>
      <numFmt numFmtId="4" formatCode="#,##0.00"/>
      <alignment vertical="center" readingOrder="0"/>
    </dxf>
  </rfmt>
  <rfmt sheetId="17" sqref="L28" start="0" length="0">
    <dxf>
      <font>
        <sz val="8"/>
        <color auto="1"/>
        <name val="Open Sans"/>
        <scheme val="none"/>
      </font>
      <numFmt numFmtId="4" formatCode="#,##0.00"/>
      <alignment vertical="center" readingOrder="0"/>
    </dxf>
  </rfmt>
  <rfmt sheetId="17" sqref="M28" start="0" length="0">
    <dxf>
      <font>
        <sz val="8"/>
        <color auto="1"/>
        <name val="Open Sans"/>
        <scheme val="none"/>
      </font>
      <numFmt numFmtId="4" formatCode="#,##0.00"/>
      <alignment vertical="center" readingOrder="0"/>
    </dxf>
  </rfmt>
  <rfmt sheetId="17" sqref="N28" start="0" length="0">
    <dxf>
      <font>
        <sz val="8"/>
        <color auto="1"/>
        <name val="Open Sans"/>
        <scheme val="none"/>
      </font>
      <numFmt numFmtId="4" formatCode="#,##0.00"/>
      <alignment vertical="center" readingOrder="0"/>
    </dxf>
  </rfmt>
  <rfmt sheetId="17" sqref="O28" start="0" length="0">
    <dxf>
      <font>
        <sz val="8"/>
        <color auto="1"/>
        <name val="Open Sans"/>
        <scheme val="none"/>
      </font>
      <numFmt numFmtId="4" formatCode="#,##0.00"/>
      <alignment vertical="center" readingOrder="0"/>
    </dxf>
  </rfmt>
  <rfmt sheetId="17" sqref="P28" start="0" length="0">
    <dxf>
      <font>
        <sz val="8"/>
        <color auto="1"/>
        <name val="Open Sans"/>
        <scheme val="none"/>
      </font>
      <numFmt numFmtId="4" formatCode="#,##0.00"/>
      <alignment vertical="center" readingOrder="0"/>
    </dxf>
  </rfmt>
  <rfmt sheetId="17" sqref="Q28" start="0" length="0">
    <dxf>
      <font>
        <sz val="8"/>
        <color auto="1"/>
        <name val="Open Sans"/>
        <scheme val="none"/>
      </font>
      <numFmt numFmtId="4" formatCode="#,##0.00"/>
      <alignment vertical="center" readingOrder="0"/>
    </dxf>
  </rfmt>
  <rfmt sheetId="17" sqref="R28" start="0" length="0">
    <dxf>
      <font>
        <sz val="8"/>
        <color auto="1"/>
        <name val="Open Sans"/>
        <scheme val="none"/>
      </font>
      <numFmt numFmtId="4" formatCode="#,##0.00"/>
      <alignment vertical="center" readingOrder="0"/>
    </dxf>
  </rfmt>
  <rfmt sheetId="17" sqref="E29" start="0" length="0">
    <dxf>
      <font>
        <sz val="8"/>
        <color auto="1"/>
        <name val="Open Sans"/>
        <scheme val="none"/>
      </font>
      <numFmt numFmtId="4" formatCode="#,##0.00"/>
      <alignment vertical="center" readingOrder="0"/>
    </dxf>
  </rfmt>
  <rfmt sheetId="17" sqref="F29" start="0" length="0">
    <dxf>
      <font>
        <sz val="8"/>
        <color auto="1"/>
        <name val="Open Sans"/>
        <scheme val="none"/>
      </font>
      <numFmt numFmtId="4" formatCode="#,##0.00"/>
      <alignment vertical="center" readingOrder="0"/>
    </dxf>
  </rfmt>
  <rfmt sheetId="17" sqref="G29" start="0" length="0">
    <dxf>
      <font>
        <sz val="8"/>
        <color auto="1"/>
        <name val="Open Sans"/>
        <scheme val="none"/>
      </font>
      <numFmt numFmtId="4" formatCode="#,##0.00"/>
      <alignment vertical="center" readingOrder="0"/>
    </dxf>
  </rfmt>
  <rfmt sheetId="17" sqref="H29" start="0" length="0">
    <dxf>
      <font>
        <sz val="8"/>
        <color auto="1"/>
        <name val="Open Sans"/>
        <scheme val="none"/>
      </font>
      <numFmt numFmtId="4" formatCode="#,##0.00"/>
      <alignment vertical="center" readingOrder="0"/>
    </dxf>
  </rfmt>
  <rfmt sheetId="17" sqref="I29" start="0" length="0">
    <dxf>
      <font>
        <sz val="8"/>
        <color auto="1"/>
        <name val="Open Sans"/>
        <scheme val="none"/>
      </font>
      <numFmt numFmtId="4" formatCode="#,##0.00"/>
      <alignment vertical="center" readingOrder="0"/>
    </dxf>
  </rfmt>
  <rfmt sheetId="17" sqref="J29" start="0" length="0">
    <dxf>
      <font>
        <sz val="8"/>
        <color auto="1"/>
        <name val="Open Sans"/>
        <scheme val="none"/>
      </font>
      <numFmt numFmtId="4" formatCode="#,##0.00"/>
      <alignment vertical="center" readingOrder="0"/>
    </dxf>
  </rfmt>
  <rfmt sheetId="17" sqref="K29" start="0" length="0">
    <dxf>
      <font>
        <sz val="8"/>
        <color auto="1"/>
        <name val="Open Sans"/>
        <scheme val="none"/>
      </font>
      <numFmt numFmtId="4" formatCode="#,##0.00"/>
      <alignment vertical="center" readingOrder="0"/>
    </dxf>
  </rfmt>
  <rfmt sheetId="17" sqref="L29" start="0" length="0">
    <dxf>
      <font>
        <sz val="8"/>
        <color auto="1"/>
        <name val="Open Sans"/>
        <scheme val="none"/>
      </font>
      <numFmt numFmtId="4" formatCode="#,##0.00"/>
      <alignment vertical="center" readingOrder="0"/>
    </dxf>
  </rfmt>
  <rfmt sheetId="17" sqref="M29" start="0" length="0">
    <dxf>
      <font>
        <sz val="8"/>
        <color auto="1"/>
        <name val="Open Sans"/>
        <scheme val="none"/>
      </font>
      <numFmt numFmtId="4" formatCode="#,##0.00"/>
      <alignment vertical="center" readingOrder="0"/>
    </dxf>
  </rfmt>
  <rfmt sheetId="17" sqref="N29" start="0" length="0">
    <dxf>
      <font>
        <sz val="8"/>
        <color auto="1"/>
        <name val="Open Sans"/>
        <scheme val="none"/>
      </font>
      <numFmt numFmtId="4" formatCode="#,##0.00"/>
      <alignment vertical="center" readingOrder="0"/>
    </dxf>
  </rfmt>
  <rfmt sheetId="17" sqref="O29" start="0" length="0">
    <dxf>
      <font>
        <sz val="8"/>
        <color auto="1"/>
        <name val="Open Sans"/>
        <scheme val="none"/>
      </font>
      <numFmt numFmtId="4" formatCode="#,##0.00"/>
      <alignment vertical="center" readingOrder="0"/>
    </dxf>
  </rfmt>
  <rfmt sheetId="17" sqref="P29" start="0" length="0">
    <dxf>
      <font>
        <sz val="8"/>
        <color auto="1"/>
        <name val="Open Sans"/>
        <scheme val="none"/>
      </font>
      <numFmt numFmtId="4" formatCode="#,##0.00"/>
      <alignment vertical="center" readingOrder="0"/>
    </dxf>
  </rfmt>
  <rfmt sheetId="17" sqref="Q29" start="0" length="0">
    <dxf>
      <font>
        <sz val="8"/>
        <color auto="1"/>
        <name val="Open Sans"/>
        <scheme val="none"/>
      </font>
      <numFmt numFmtId="4" formatCode="#,##0.00"/>
      <alignment vertical="center" readingOrder="0"/>
    </dxf>
  </rfmt>
  <rfmt sheetId="17" sqref="R29" start="0" length="0">
    <dxf>
      <font>
        <sz val="8"/>
        <color auto="1"/>
        <name val="Open Sans"/>
        <scheme val="none"/>
      </font>
      <numFmt numFmtId="4" formatCode="#,##0.00"/>
      <alignment vertical="center" readingOrder="0"/>
    </dxf>
  </rfmt>
  <rfmt sheetId="17" sqref="E30" start="0" length="0">
    <dxf>
      <font>
        <sz val="8"/>
        <color auto="1"/>
        <name val="Open Sans"/>
        <scheme val="none"/>
      </font>
      <numFmt numFmtId="4" formatCode="#,##0.00"/>
      <alignment vertical="center" readingOrder="0"/>
    </dxf>
  </rfmt>
  <rfmt sheetId="17" sqref="F30" start="0" length="0">
    <dxf>
      <font>
        <sz val="8"/>
        <color auto="1"/>
        <name val="Open Sans"/>
        <scheme val="none"/>
      </font>
      <numFmt numFmtId="4" formatCode="#,##0.00"/>
      <alignment vertical="center" readingOrder="0"/>
    </dxf>
  </rfmt>
  <rfmt sheetId="17" sqref="G30" start="0" length="0">
    <dxf>
      <font>
        <sz val="8"/>
        <color auto="1"/>
        <name val="Open Sans"/>
        <scheme val="none"/>
      </font>
      <numFmt numFmtId="4" formatCode="#,##0.00"/>
      <alignment vertical="center" readingOrder="0"/>
    </dxf>
  </rfmt>
  <rfmt sheetId="17" sqref="H30" start="0" length="0">
    <dxf>
      <font>
        <sz val="8"/>
        <color auto="1"/>
        <name val="Open Sans"/>
        <scheme val="none"/>
      </font>
      <numFmt numFmtId="4" formatCode="#,##0.00"/>
      <alignment vertical="center" readingOrder="0"/>
    </dxf>
  </rfmt>
  <rfmt sheetId="17" sqref="I30" start="0" length="0">
    <dxf>
      <font>
        <sz val="8"/>
        <color auto="1"/>
        <name val="Open Sans"/>
        <scheme val="none"/>
      </font>
      <numFmt numFmtId="4" formatCode="#,##0.00"/>
      <alignment vertical="center" readingOrder="0"/>
    </dxf>
  </rfmt>
  <rfmt sheetId="17" sqref="J30" start="0" length="0">
    <dxf>
      <font>
        <sz val="8"/>
        <color auto="1"/>
        <name val="Open Sans"/>
        <scheme val="none"/>
      </font>
      <numFmt numFmtId="4" formatCode="#,##0.00"/>
      <alignment vertical="center" readingOrder="0"/>
    </dxf>
  </rfmt>
  <rfmt sheetId="17" sqref="K30" start="0" length="0">
    <dxf>
      <font>
        <sz val="8"/>
        <color auto="1"/>
        <name val="Open Sans"/>
        <scheme val="none"/>
      </font>
      <numFmt numFmtId="4" formatCode="#,##0.00"/>
      <alignment vertical="center" readingOrder="0"/>
    </dxf>
  </rfmt>
  <rfmt sheetId="17" sqref="L30" start="0" length="0">
    <dxf>
      <font>
        <sz val="8"/>
        <color auto="1"/>
        <name val="Open Sans"/>
        <scheme val="none"/>
      </font>
      <numFmt numFmtId="4" formatCode="#,##0.00"/>
      <alignment vertical="center" readingOrder="0"/>
    </dxf>
  </rfmt>
  <rfmt sheetId="17" sqref="M30" start="0" length="0">
    <dxf>
      <font>
        <sz val="8"/>
        <color auto="1"/>
        <name val="Open Sans"/>
        <scheme val="none"/>
      </font>
      <numFmt numFmtId="4" formatCode="#,##0.00"/>
      <alignment vertical="center" readingOrder="0"/>
    </dxf>
  </rfmt>
  <rfmt sheetId="17" sqref="N30" start="0" length="0">
    <dxf>
      <font>
        <sz val="8"/>
        <color auto="1"/>
        <name val="Open Sans"/>
        <scheme val="none"/>
      </font>
      <numFmt numFmtId="4" formatCode="#,##0.00"/>
      <alignment vertical="center" readingOrder="0"/>
    </dxf>
  </rfmt>
  <rfmt sheetId="17" sqref="O30" start="0" length="0">
    <dxf>
      <font>
        <sz val="8"/>
        <color auto="1"/>
        <name val="Open Sans"/>
        <scheme val="none"/>
      </font>
      <numFmt numFmtId="4" formatCode="#,##0.00"/>
      <alignment vertical="center" readingOrder="0"/>
    </dxf>
  </rfmt>
  <rfmt sheetId="17" sqref="P30" start="0" length="0">
    <dxf>
      <font>
        <sz val="8"/>
        <color auto="1"/>
        <name val="Open Sans"/>
        <scheme val="none"/>
      </font>
      <numFmt numFmtId="4" formatCode="#,##0.00"/>
      <alignment vertical="center" readingOrder="0"/>
    </dxf>
  </rfmt>
  <rfmt sheetId="17" sqref="Q30" start="0" length="0">
    <dxf>
      <font>
        <sz val="8"/>
        <color auto="1"/>
        <name val="Open Sans"/>
        <scheme val="none"/>
      </font>
      <numFmt numFmtId="4" formatCode="#,##0.00"/>
      <alignment vertical="center" readingOrder="0"/>
    </dxf>
  </rfmt>
  <rfmt sheetId="17" sqref="R30" start="0" length="0">
    <dxf>
      <font>
        <sz val="8"/>
        <color auto="1"/>
        <name val="Open Sans"/>
        <scheme val="none"/>
      </font>
      <numFmt numFmtId="4" formatCode="#,##0.00"/>
      <alignment vertical="center" readingOrder="0"/>
    </dxf>
  </rfmt>
  <rfmt sheetId="17" sqref="E31" start="0" length="0">
    <dxf>
      <font>
        <sz val="8"/>
        <color auto="1"/>
        <name val="Open Sans"/>
        <scheme val="none"/>
      </font>
      <numFmt numFmtId="4" formatCode="#,##0.00"/>
      <alignment vertical="center" readingOrder="0"/>
    </dxf>
  </rfmt>
  <rfmt sheetId="17" sqref="F31" start="0" length="0">
    <dxf>
      <font>
        <sz val="8"/>
        <color auto="1"/>
        <name val="Open Sans"/>
        <scheme val="none"/>
      </font>
      <numFmt numFmtId="4" formatCode="#,##0.00"/>
      <alignment vertical="center" readingOrder="0"/>
    </dxf>
  </rfmt>
  <rfmt sheetId="17" sqref="G31" start="0" length="0">
    <dxf>
      <font>
        <sz val="8"/>
        <color auto="1"/>
        <name val="Open Sans"/>
        <scheme val="none"/>
      </font>
      <numFmt numFmtId="4" formatCode="#,##0.00"/>
      <alignment vertical="center" readingOrder="0"/>
    </dxf>
  </rfmt>
  <rfmt sheetId="17" sqref="H31" start="0" length="0">
    <dxf>
      <font>
        <sz val="8"/>
        <color auto="1"/>
        <name val="Open Sans"/>
        <scheme val="none"/>
      </font>
      <numFmt numFmtId="4" formatCode="#,##0.00"/>
      <alignment vertical="center" readingOrder="0"/>
    </dxf>
  </rfmt>
  <rfmt sheetId="17" sqref="I31" start="0" length="0">
    <dxf>
      <font>
        <sz val="8"/>
        <color auto="1"/>
        <name val="Open Sans"/>
        <scheme val="none"/>
      </font>
      <numFmt numFmtId="4" formatCode="#,##0.00"/>
      <alignment vertical="center" readingOrder="0"/>
    </dxf>
  </rfmt>
  <rfmt sheetId="17" sqref="J31" start="0" length="0">
    <dxf>
      <font>
        <sz val="8"/>
        <color auto="1"/>
        <name val="Open Sans"/>
        <scheme val="none"/>
      </font>
      <numFmt numFmtId="4" formatCode="#,##0.00"/>
      <alignment vertical="center" readingOrder="0"/>
    </dxf>
  </rfmt>
  <rfmt sheetId="17" sqref="K31" start="0" length="0">
    <dxf>
      <font>
        <sz val="8"/>
        <color auto="1"/>
        <name val="Open Sans"/>
        <scheme val="none"/>
      </font>
      <numFmt numFmtId="4" formatCode="#,##0.00"/>
      <alignment vertical="center" readingOrder="0"/>
    </dxf>
  </rfmt>
  <rfmt sheetId="17" sqref="L31" start="0" length="0">
    <dxf>
      <font>
        <sz val="8"/>
        <color auto="1"/>
        <name val="Open Sans"/>
        <scheme val="none"/>
      </font>
      <numFmt numFmtId="4" formatCode="#,##0.00"/>
      <alignment vertical="center" readingOrder="0"/>
    </dxf>
  </rfmt>
  <rfmt sheetId="17" sqref="M31" start="0" length="0">
    <dxf>
      <font>
        <sz val="8"/>
        <color auto="1"/>
        <name val="Open Sans"/>
        <scheme val="none"/>
      </font>
      <numFmt numFmtId="4" formatCode="#,##0.00"/>
      <alignment vertical="center" readingOrder="0"/>
    </dxf>
  </rfmt>
  <rfmt sheetId="17" sqref="N31" start="0" length="0">
    <dxf>
      <font>
        <sz val="8"/>
        <color auto="1"/>
        <name val="Open Sans"/>
        <scheme val="none"/>
      </font>
      <numFmt numFmtId="4" formatCode="#,##0.00"/>
      <alignment vertical="center" readingOrder="0"/>
    </dxf>
  </rfmt>
  <rfmt sheetId="17" sqref="O31" start="0" length="0">
    <dxf>
      <font>
        <sz val="8"/>
        <color auto="1"/>
        <name val="Open Sans"/>
        <scheme val="none"/>
      </font>
      <numFmt numFmtId="4" formatCode="#,##0.00"/>
      <alignment vertical="center" readingOrder="0"/>
    </dxf>
  </rfmt>
  <rfmt sheetId="17" sqref="P31" start="0" length="0">
    <dxf>
      <font>
        <sz val="8"/>
        <color auto="1"/>
        <name val="Open Sans"/>
        <scheme val="none"/>
      </font>
      <numFmt numFmtId="4" formatCode="#,##0.00"/>
      <alignment vertical="center" readingOrder="0"/>
    </dxf>
  </rfmt>
  <rfmt sheetId="17" sqref="Q31" start="0" length="0">
    <dxf>
      <font>
        <sz val="8"/>
        <color auto="1"/>
        <name val="Open Sans"/>
        <scheme val="none"/>
      </font>
      <numFmt numFmtId="4" formatCode="#,##0.00"/>
      <alignment vertical="center" readingOrder="0"/>
    </dxf>
  </rfmt>
  <rfmt sheetId="17" sqref="R31" start="0" length="0">
    <dxf>
      <font>
        <sz val="8"/>
        <color auto="1"/>
        <name val="Open Sans"/>
        <scheme val="none"/>
      </font>
      <numFmt numFmtId="4" formatCode="#,##0.00"/>
      <alignment vertical="center" readingOrder="0"/>
    </dxf>
  </rfmt>
  <rrc rId="1707"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B32" start="0" length="0">
      <dxf>
        <font>
          <sz val="8"/>
          <color auto="1"/>
          <name val="Swis721CnEU"/>
          <scheme val="none"/>
        </font>
      </dxf>
    </rfmt>
    <rfmt sheetId="17" s="1" sqref="C32" start="0" length="0">
      <dxf>
        <font>
          <sz val="8"/>
          <color auto="1"/>
          <name val="Swis721CnEU"/>
          <scheme val="none"/>
        </font>
      </dxf>
    </rfmt>
    <rfmt sheetId="17" s="1" sqref="D32" start="0" length="0">
      <dxf>
        <font>
          <sz val="8"/>
          <color auto="1"/>
          <name val="Open Sans"/>
          <scheme val="none"/>
        </font>
        <numFmt numFmtId="4" formatCode="#,##0.00"/>
        <alignment vertical="center" readingOrder="0"/>
      </dxf>
    </rfmt>
    <rfmt sheetId="17" s="1" sqref="E32" start="0" length="0">
      <dxf>
        <font>
          <sz val="8"/>
          <color auto="1"/>
          <name val="Swis721CnEU"/>
          <scheme val="none"/>
        </font>
      </dxf>
    </rfmt>
    <rfmt sheetId="17" s="1" sqref="F32" start="0" length="0">
      <dxf>
        <font>
          <sz val="8"/>
          <color auto="1"/>
          <name val="Swis721CnEU"/>
          <scheme val="none"/>
        </font>
      </dxf>
    </rfmt>
    <rfmt sheetId="17" s="1" sqref="G32" start="0" length="0">
      <dxf>
        <font>
          <sz val="8"/>
          <color auto="1"/>
          <name val="Swis721CnEU"/>
          <scheme val="none"/>
        </font>
      </dxf>
    </rfmt>
    <rfmt sheetId="17" s="1" sqref="H32" start="0" length="0">
      <dxf>
        <font>
          <sz val="8"/>
          <color auto="1"/>
          <name val="Swis721CnEU"/>
          <scheme val="none"/>
        </font>
      </dxf>
    </rfmt>
    <rfmt sheetId="17" s="1" sqref="I32" start="0" length="0">
      <dxf>
        <font>
          <sz val="8"/>
          <color auto="1"/>
          <name val="Swis721CnEU"/>
          <scheme val="none"/>
        </font>
      </dxf>
    </rfmt>
    <rfmt sheetId="17" s="1" sqref="J32" start="0" length="0">
      <dxf>
        <font>
          <sz val="8"/>
          <color auto="1"/>
          <name val="Swis721CnEU"/>
          <scheme val="none"/>
        </font>
      </dxf>
    </rfmt>
    <rfmt sheetId="17" s="1" sqref="K32" start="0" length="0">
      <dxf>
        <font>
          <sz val="8"/>
          <color auto="1"/>
          <name val="Swis721CnEU"/>
          <scheme val="none"/>
        </font>
      </dxf>
    </rfmt>
    <rfmt sheetId="17" s="1" sqref="L32" start="0" length="0">
      <dxf>
        <font>
          <sz val="8"/>
          <color auto="1"/>
          <name val="Swis721CnEU"/>
          <scheme val="none"/>
        </font>
      </dxf>
    </rfmt>
    <rfmt sheetId="17" s="1" sqref="M32" start="0" length="0">
      <dxf>
        <font>
          <sz val="8"/>
          <color auto="1"/>
          <name val="Swis721CnEU"/>
          <scheme val="none"/>
        </font>
      </dxf>
    </rfmt>
    <rfmt sheetId="17" s="1" sqref="N32" start="0" length="0">
      <dxf>
        <font>
          <sz val="8"/>
          <color auto="1"/>
          <name val="Swis721CnEU"/>
          <scheme val="none"/>
        </font>
      </dxf>
    </rfmt>
    <rfmt sheetId="17" s="1" sqref="O32" start="0" length="0">
      <dxf>
        <font>
          <sz val="8"/>
          <color auto="1"/>
          <name val="Swis721CnEU"/>
          <scheme val="none"/>
        </font>
      </dxf>
    </rfmt>
    <rfmt sheetId="17" s="1" sqref="P32" start="0" length="0">
      <dxf>
        <font>
          <sz val="8"/>
          <color auto="1"/>
          <name val="Swis721CnEU"/>
          <scheme val="none"/>
        </font>
      </dxf>
    </rfmt>
    <rfmt sheetId="17" s="1" sqref="Q32" start="0" length="0">
      <dxf>
        <font>
          <sz val="8"/>
          <color auto="1"/>
          <name val="Swis721CnEU"/>
          <scheme val="none"/>
        </font>
      </dxf>
    </rfmt>
    <rfmt sheetId="17" s="1" sqref="R32" start="0" length="0">
      <dxf>
        <font>
          <sz val="8"/>
          <color auto="1"/>
          <name val="Swis721CnEU"/>
          <scheme val="none"/>
        </font>
      </dxf>
    </rfmt>
  </rrc>
  <rrc rId="1708"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Wybrane wskaźniki finansowe Grupy Santander Bank Polska S.A.</t>
        </is>
      </nc>
      <ndxf>
        <font>
          <b/>
          <sz val="8"/>
          <color rgb="FFCC0000"/>
          <name val="Open Sans"/>
          <scheme val="none"/>
        </font>
        <alignment horizontal="left" vertical="center" wrapText="1" indent="1" readingOrder="0"/>
        <border outline="0">
          <bottom style="medium">
            <color rgb="FFCC0000"/>
          </bottom>
        </border>
      </ndxf>
    </rcc>
    <rcc rId="0" sId="17" s="1" dxf="1">
      <nc r="C32" t="inlineStr">
        <is>
          <t>Selected Financial Ratios of Santander Bank Polska Group</t>
        </is>
      </nc>
      <ndxf>
        <font>
          <b/>
          <sz val="8"/>
          <color rgb="FFCC0000"/>
          <name val="Open Sans"/>
          <scheme val="none"/>
        </font>
        <alignment horizontal="left" vertical="center" wrapText="1" indent="1" readingOrder="0"/>
        <border outline="0">
          <bottom style="medium">
            <color rgb="FFCC0000"/>
          </bottom>
        </border>
      </ndxf>
    </rcc>
    <rcc rId="0" sId="17" s="1" dxf="1">
      <nc r="D32" t="inlineStr">
        <is>
          <t>Q1 2017</t>
        </is>
      </nc>
      <ndxf>
        <font>
          <b/>
          <sz val="8"/>
          <color rgb="FFCC0000"/>
          <name val="Open Sans"/>
          <scheme val="none"/>
        </font>
        <alignment horizontal="right" vertical="center" wrapText="1" readingOrder="0"/>
        <border outline="0">
          <right style="dashed">
            <color theme="0"/>
          </right>
          <bottom style="medium">
            <color rgb="FFCC0000"/>
          </bottom>
        </border>
      </ndxf>
    </rcc>
    <rcc rId="0" sId="17" s="1" dxf="1">
      <nc r="E32" t="inlineStr">
        <is>
          <t xml:space="preserve">Q1-2  2017 </t>
        </is>
      </nc>
      <ndxf>
        <font>
          <b/>
          <sz val="8"/>
          <color rgb="FFCC0000"/>
          <name val="Open Sans"/>
          <scheme val="none"/>
        </font>
        <alignment horizontal="right" vertical="center" wrapText="1" readingOrder="0"/>
        <border outline="0">
          <bottom style="medium">
            <color rgb="FFCC0000"/>
          </bottom>
        </border>
      </ndxf>
    </rcc>
    <rcc rId="0" sId="17" s="1" dxf="1">
      <nc r="F32" t="inlineStr">
        <is>
          <t>Q1-3 2017</t>
        </is>
      </nc>
      <ndxf>
        <font>
          <b/>
          <sz val="8"/>
          <color rgb="FFCC0000"/>
          <name val="Open Sans"/>
          <scheme val="none"/>
        </font>
        <alignment horizontal="right" vertical="center" wrapText="1" readingOrder="0"/>
        <border outline="0">
          <bottom style="medium">
            <color rgb="FFCC0000"/>
          </bottom>
        </border>
      </ndxf>
    </rcc>
    <rcc rId="0" sId="17" s="1" dxf="1">
      <nc r="G32" t="inlineStr">
        <is>
          <t>Q1-4 2017</t>
        </is>
      </nc>
      <ndxf>
        <font>
          <b/>
          <sz val="8"/>
          <color rgb="FFCC0000"/>
          <name val="Open Sans"/>
          <scheme val="none"/>
        </font>
        <alignment horizontal="right" vertical="center" wrapText="1" readingOrder="0"/>
        <border outline="0">
          <right style="dashed">
            <color theme="0"/>
          </right>
          <bottom style="medium">
            <color rgb="FFCC0000"/>
          </bottom>
        </border>
      </ndxf>
    </rcc>
    <rcc rId="0" sId="17" s="1" dxf="1">
      <nc r="H32" t="inlineStr">
        <is>
          <t>Q1 2018</t>
        </is>
      </nc>
      <ndxf>
        <font>
          <b/>
          <sz val="8"/>
          <color rgb="FFCC0000"/>
          <name val="Open Sans"/>
          <scheme val="none"/>
        </font>
        <alignment horizontal="right" vertical="center" wrapText="1" readingOrder="0"/>
        <border outline="0">
          <right style="dashed">
            <color theme="0"/>
          </right>
          <bottom style="medium">
            <color rgb="FFCC0000"/>
          </bottom>
        </border>
      </ndxf>
    </rcc>
    <rcc rId="0" sId="17" s="1" dxf="1">
      <nc r="I32" t="inlineStr">
        <is>
          <t xml:space="preserve">Q1-2  2018 </t>
        </is>
      </nc>
      <ndxf>
        <font>
          <b/>
          <sz val="8"/>
          <color rgb="FFCC0000"/>
          <name val="Open Sans"/>
          <scheme val="none"/>
        </font>
        <alignment horizontal="right" vertical="center" wrapText="1" readingOrder="0"/>
        <border outline="0">
          <bottom style="medium">
            <color rgb="FFCC0000"/>
          </bottom>
        </border>
      </ndxf>
    </rcc>
    <rcc rId="0" sId="17" s="1" dxf="1">
      <nc r="J32" t="inlineStr">
        <is>
          <t>Q1-3 2018</t>
        </is>
      </nc>
      <ndxf>
        <font>
          <b/>
          <sz val="8"/>
          <color rgb="FFCC0000"/>
          <name val="Open Sans"/>
          <scheme val="none"/>
        </font>
        <alignment horizontal="right" vertical="center" wrapText="1" readingOrder="0"/>
        <border outline="0">
          <bottom style="medium">
            <color rgb="FFCC0000"/>
          </bottom>
        </border>
      </ndxf>
    </rcc>
    <rcc rId="0" sId="17" s="1" dxf="1">
      <nc r="K32" t="inlineStr">
        <is>
          <t>Q1-4 2018</t>
        </is>
      </nc>
      <ndxf>
        <font>
          <b/>
          <sz val="8"/>
          <color rgb="FFCC0000"/>
          <name val="Open Sans"/>
          <scheme val="none"/>
        </font>
        <alignment horizontal="right" vertical="center" wrapText="1" readingOrder="0"/>
        <border outline="0">
          <bottom style="medium">
            <color rgb="FFCC0000"/>
          </bottom>
        </border>
      </ndxf>
    </rcc>
    <rcc rId="0" sId="17" s="1" dxf="1">
      <nc r="L32" t="inlineStr">
        <is>
          <t>Q1  2019</t>
        </is>
      </nc>
      <ndxf>
        <font>
          <b/>
          <sz val="8"/>
          <color rgb="FFCC0000"/>
          <name val="Open Sans"/>
          <scheme val="none"/>
        </font>
        <alignment horizontal="right" vertical="center" wrapText="1" readingOrder="0"/>
        <border outline="0">
          <bottom style="medium">
            <color rgb="FFCC0000"/>
          </bottom>
        </border>
      </ndxf>
    </rcc>
    <rcc rId="0" sId="17" s="1" dxf="1">
      <nc r="M32" t="inlineStr">
        <is>
          <t>Q1-2 2019</t>
        </is>
      </nc>
      <ndxf>
        <font>
          <b/>
          <sz val="8"/>
          <color rgb="FFCC0000"/>
          <name val="Open Sans"/>
          <scheme val="none"/>
        </font>
        <alignment horizontal="right" vertical="center" wrapText="1" readingOrder="0"/>
        <border outline="0">
          <bottom style="medium">
            <color rgb="FFCC0000"/>
          </bottom>
        </border>
      </ndxf>
    </rcc>
    <rcc rId="0" sId="17" s="1" dxf="1">
      <nc r="N32" t="inlineStr">
        <is>
          <t>Q1-3 2019</t>
        </is>
      </nc>
      <ndxf>
        <font>
          <b/>
          <sz val="8"/>
          <color rgb="FFCC0000"/>
          <name val="Open Sans"/>
          <scheme val="none"/>
        </font>
        <alignment horizontal="right" vertical="center" wrapText="1" readingOrder="0"/>
        <border outline="0">
          <bottom style="medium">
            <color rgb="FFCC0000"/>
          </bottom>
        </border>
      </ndxf>
    </rcc>
    <rcc rId="0" sId="17" s="1" dxf="1">
      <nc r="O32" t="inlineStr">
        <is>
          <t>Q1-4 2019</t>
        </is>
      </nc>
      <ndxf>
        <font>
          <b/>
          <sz val="8"/>
          <color rgb="FFCC0000"/>
          <name val="Open Sans"/>
          <scheme val="none"/>
        </font>
        <alignment horizontal="right" vertical="center" wrapText="1" readingOrder="0"/>
        <border outline="0">
          <bottom style="medium">
            <color rgb="FFCC0000"/>
          </bottom>
        </border>
      </ndxf>
    </rcc>
    <rcc rId="0" sId="17" s="1" dxf="1">
      <nc r="P32" t="inlineStr">
        <is>
          <t>Q1 2020</t>
        </is>
      </nc>
      <ndxf>
        <font>
          <b/>
          <sz val="8"/>
          <color rgb="FFCC0000"/>
          <name val="Open Sans"/>
          <scheme val="none"/>
        </font>
        <alignment horizontal="right" vertical="center" wrapText="1" readingOrder="0"/>
        <border outline="0">
          <bottom style="medium">
            <color rgb="FFCC0000"/>
          </bottom>
        </border>
      </ndxf>
    </rcc>
    <rcc rId="0" sId="17" s="1" dxf="1">
      <nc r="Q32" t="inlineStr">
        <is>
          <t xml:space="preserve">Q1-2 2020 </t>
        </is>
      </nc>
      <ndxf>
        <font>
          <b/>
          <sz val="8"/>
          <color rgb="FFCC0000"/>
          <name val="Open Sans"/>
          <scheme val="none"/>
        </font>
        <alignment horizontal="right" vertical="center" wrapText="1" readingOrder="0"/>
        <border outline="0">
          <bottom style="medium">
            <color rgb="FFCC0000"/>
          </bottom>
        </border>
      </ndxf>
    </rcc>
    <rcc rId="0" sId="17" s="1" dxf="1">
      <nc r="R32" t="inlineStr">
        <is>
          <t xml:space="preserve">Q1-3 2020 </t>
        </is>
      </nc>
      <ndxf>
        <font>
          <b/>
          <sz val="8"/>
          <color rgb="FFCC0000"/>
          <name val="Open Sans"/>
          <scheme val="none"/>
        </font>
        <alignment horizontal="right" vertical="center" wrapText="1" readingOrder="0"/>
        <border outline="0">
          <bottom style="medium">
            <color rgb="FFCC0000"/>
          </bottom>
        </border>
      </ndxf>
    </rcc>
    <rfmt sheetId="17" s="1" sqref="S32" start="0" length="0">
      <dxf>
        <font>
          <b/>
          <sz val="8"/>
          <color rgb="FFCC0000"/>
          <name val="Open Sans"/>
          <scheme val="none"/>
        </font>
        <alignment horizontal="right" vertical="center" wrapText="1" readingOrder="0"/>
        <border outline="0">
          <bottom style="medium">
            <color rgb="FFCC0000"/>
          </bottom>
        </border>
      </dxf>
    </rfmt>
    <rcc rId="0" sId="17" s="1" dxf="1">
      <nc r="T32" t="inlineStr">
        <is>
          <t>Q1-3 2020</t>
        </is>
      </nc>
      <ndxf>
        <font>
          <b/>
          <sz val="8"/>
          <color rgb="FFCC0000"/>
          <name val="Open Sans"/>
          <scheme val="none"/>
        </font>
        <alignment horizontal="right" vertical="center" wrapText="1" readingOrder="0"/>
        <border outline="0">
          <bottom style="medium">
            <color rgb="FFCC0000"/>
          </bottom>
        </border>
      </ndxf>
    </rcc>
    <rcc rId="0" sId="17" s="1" dxf="1">
      <nc r="U32" t="inlineStr">
        <is>
          <t>I poł. 2020</t>
        </is>
      </nc>
      <ndxf>
        <font>
          <b/>
          <sz val="8"/>
          <color rgb="FFCC0000"/>
          <name val="Open Sans"/>
          <scheme val="none"/>
        </font>
        <alignment horizontal="right" vertical="center" wrapText="1" readingOrder="0"/>
        <border outline="0">
          <bottom style="medium">
            <color rgb="FFCC0000"/>
          </bottom>
        </border>
      </ndxf>
    </rcc>
    <rcc rId="0" sId="17" s="1" dxf="1">
      <nc r="V32" t="inlineStr">
        <is>
          <t>I poł. 2019 11)</t>
        </is>
      </nc>
      <ndxf>
        <font>
          <b/>
          <sz val="8"/>
          <color rgb="FFCC0000"/>
          <name val="Open Sans"/>
          <scheme val="none"/>
        </font>
        <alignment horizontal="right" vertical="center" wrapText="1" readingOrder="0"/>
        <border outline="0">
          <bottom style="medium">
            <color rgb="FFCC0000"/>
          </bottom>
        </border>
      </ndxf>
    </rcc>
    <rcc rId="0" sId="17" s="1" dxf="1">
      <nc r="W32" t="inlineStr">
        <is>
          <t>I-III kw. 2020</t>
        </is>
      </nc>
      <ndxf>
        <font>
          <b/>
          <sz val="8"/>
          <color rgb="FFCC0000"/>
          <name val="Open Sans"/>
          <scheme val="none"/>
        </font>
        <alignment horizontal="right" vertical="center" wrapText="1" readingOrder="0"/>
        <border outline="0">
          <bottom style="medium">
            <color rgb="FFCC0000"/>
          </bottom>
        </border>
      </ndxf>
    </rcc>
    <rcc rId="0" sId="17" s="1" dxf="1">
      <nc r="X32" t="inlineStr">
        <is>
          <t>I-III kw. 2019 11)</t>
        </is>
      </nc>
      <ndxf>
        <font>
          <b/>
          <sz val="8"/>
          <color rgb="FFCC0000"/>
          <name val="Open Sans"/>
          <scheme val="none"/>
        </font>
        <alignment horizontal="right" vertical="center" wrapText="1" readingOrder="0"/>
        <border outline="0">
          <bottom style="medium">
            <color rgb="FFCC0000"/>
          </bottom>
        </border>
      </ndxf>
    </rcc>
    <rcc rId="0" sId="17" s="1" dxf="1">
      <nc r="Y32">
        <v>2019</v>
      </nc>
      <ndxf>
        <font>
          <b/>
          <sz val="8"/>
          <color rgb="FFCC0000"/>
          <name val="Open Sans"/>
          <scheme val="none"/>
        </font>
        <alignment horizontal="right" vertical="center" wrapText="1" readingOrder="0"/>
        <border outline="0">
          <bottom style="medium">
            <color rgb="FFCC0000"/>
          </bottom>
        </border>
      </ndxf>
    </rcc>
    <rcc rId="0" sId="17" s="1" dxf="1">
      <nc r="Z32" t="inlineStr">
        <is>
          <t>2018 11)</t>
        </is>
      </nc>
      <ndxf>
        <font>
          <b/>
          <sz val="8"/>
          <color rgb="FFCC0000"/>
          <name val="Open Sans"/>
          <scheme val="none"/>
        </font>
        <alignment horizontal="right" vertical="center" wrapText="1" readingOrder="0"/>
        <border outline="0">
          <bottom style="medium">
            <color rgb="FFCC0000"/>
          </bottom>
        </border>
      </ndxf>
    </rcc>
    <rcc rId="0" sId="17" s="1" dxf="1">
      <nc r="AA32" t="inlineStr">
        <is>
          <t>Q1 2020</t>
        </is>
      </nc>
      <ndxf>
        <font>
          <b/>
          <sz val="8"/>
          <color rgb="FFCC0000"/>
          <name val="Open Sans"/>
          <scheme val="none"/>
        </font>
        <alignment horizontal="right" vertical="center" wrapText="1" readingOrder="0"/>
        <border outline="0">
          <bottom style="medium">
            <color rgb="FFCC0000"/>
          </bottom>
        </border>
      </ndxf>
    </rcc>
    <rcc rId="0" sId="17" s="1" dxf="1">
      <nc r="AB32" t="inlineStr">
        <is>
          <t>Q1 2019 11)</t>
        </is>
      </nc>
      <ndxf>
        <font>
          <b/>
          <sz val="8"/>
          <color rgb="FFCC0000"/>
          <name val="Open Sans"/>
          <scheme val="none"/>
        </font>
        <alignment horizontal="right" vertical="center" wrapText="1" readingOrder="0"/>
        <border outline="0">
          <right style="dashed">
            <color theme="0"/>
          </right>
          <bottom style="medium">
            <color rgb="FFCC0000"/>
          </bottom>
        </border>
      </ndxf>
    </rcc>
    <rcc rId="0" sId="17" s="1" dxf="1">
      <nc r="AC32" t="inlineStr">
        <is>
          <t>Q1-3 2019 11)</t>
        </is>
      </nc>
      <ndxf>
        <font>
          <b/>
          <sz val="8"/>
          <color rgb="FFCC0000"/>
          <name val="Open Sans"/>
          <scheme val="none"/>
        </font>
        <alignment horizontal="right" vertical="center" wrapText="1" readingOrder="0"/>
        <border outline="0">
          <right style="dashed">
            <color theme="0"/>
          </right>
          <bottom style="medium">
            <color rgb="FFCC0000"/>
          </bottom>
        </border>
      </ndxf>
    </rcc>
  </rrc>
  <rrc rId="1709"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Koszty / dochody </t>
        </is>
      </nc>
      <ndxf>
        <font>
          <sz val="8"/>
          <color auto="1"/>
          <name val="Open Sans"/>
          <scheme val="none"/>
        </font>
        <alignment horizontal="left" vertical="center" wrapText="1" indent="1" readingOrder="0"/>
        <border outline="0">
          <left style="thin">
            <color indexed="9"/>
          </left>
          <top style="dotted">
            <color rgb="FF6F7779"/>
          </top>
        </border>
      </ndxf>
    </rcc>
    <rcc rId="0" sId="17" s="1" dxf="1">
      <nc r="C32" t="inlineStr">
        <is>
          <t xml:space="preserve">Total costs/Total income </t>
        </is>
      </nc>
      <ndxf>
        <font>
          <sz val="8"/>
          <color auto="1"/>
          <name val="Open Sans"/>
          <scheme val="none"/>
        </font>
        <alignment horizontal="left" vertical="center" wrapText="1" indent="1" readingOrder="0"/>
        <border outline="0">
          <left style="thin">
            <color indexed="9"/>
          </left>
        </border>
      </ndxf>
    </rcc>
    <rcc rId="0" sId="17" s="1" dxf="1" numFmtId="14">
      <nc r="D32">
        <v>0.46800000000000003</v>
      </nc>
      <ndxf>
        <font>
          <sz val="8"/>
          <color auto="1"/>
          <name val="Open Sans"/>
          <scheme val="none"/>
        </font>
        <numFmt numFmtId="168" formatCode="0.0%"/>
        <alignment vertical="center" readingOrder="0"/>
        <border outline="0">
          <top style="dotted">
            <color rgb="FF6F7779"/>
          </top>
        </border>
      </ndxf>
    </rcc>
    <rcc rId="0" sId="17" s="1" dxf="1" numFmtId="14">
      <nc r="E32">
        <v>0.44600000000000001</v>
      </nc>
      <ndxf>
        <font>
          <sz val="8"/>
          <color auto="1"/>
          <name val="Open Sans"/>
          <scheme val="none"/>
        </font>
        <numFmt numFmtId="168" formatCode="0.0%"/>
        <alignment vertical="center" readingOrder="0"/>
        <border outline="0">
          <top style="dotted">
            <color rgb="FF6F7779"/>
          </top>
        </border>
      </ndxf>
    </rcc>
    <rcc rId="0" sId="17" s="1" dxf="1" numFmtId="14">
      <nc r="F32">
        <v>0.435</v>
      </nc>
      <ndxf>
        <font>
          <sz val="8"/>
          <color auto="1"/>
          <name val="Open Sans"/>
          <scheme val="none"/>
        </font>
        <numFmt numFmtId="168" formatCode="0.0%"/>
        <alignment vertical="center" readingOrder="0"/>
        <border outline="0">
          <top style="dotted">
            <color rgb="FF6F7779"/>
          </top>
        </border>
      </ndxf>
    </rcc>
    <rcc rId="0" sId="17" s="1" dxf="1" numFmtId="14">
      <nc r="G32">
        <v>0.434</v>
      </nc>
      <ndxf>
        <font>
          <sz val="8"/>
          <color auto="1"/>
          <name val="Open Sans"/>
          <scheme val="none"/>
        </font>
        <numFmt numFmtId="168" formatCode="0.0%"/>
        <alignment vertical="center" readingOrder="0"/>
        <border outline="0">
          <top style="dotted">
            <color rgb="FF6F7779"/>
          </top>
        </border>
      </ndxf>
    </rcc>
    <rcc rId="0" sId="17" s="1" dxf="1" numFmtId="14">
      <nc r="H32">
        <v>0.48899999999999999</v>
      </nc>
      <ndxf>
        <font>
          <sz val="8"/>
          <color auto="1"/>
          <name val="Open Sans"/>
          <scheme val="none"/>
        </font>
        <numFmt numFmtId="168" formatCode="0.0%"/>
        <alignment vertical="center" readingOrder="0"/>
        <border outline="0">
          <top style="dotted">
            <color rgb="FF6F7779"/>
          </top>
        </border>
      </ndxf>
    </rcc>
    <rcc rId="0" sId="17" s="1" dxf="1" numFmtId="14">
      <nc r="I32">
        <v>0.45200000000000001</v>
      </nc>
      <ndxf>
        <font>
          <sz val="8"/>
          <color auto="1"/>
          <name val="Open Sans"/>
          <scheme val="none"/>
        </font>
        <numFmt numFmtId="168" formatCode="0.0%"/>
        <alignment vertical="center" readingOrder="0"/>
        <border outline="0">
          <top style="dotted">
            <color rgb="FF6F7779"/>
          </top>
        </border>
      </ndxf>
    </rcc>
    <rcc rId="0" sId="17" s="1" dxf="1" numFmtId="14">
      <nc r="J32">
        <v>0.45</v>
      </nc>
      <ndxf>
        <font>
          <sz val="8"/>
          <color auto="1"/>
          <name val="Open Sans"/>
          <scheme val="none"/>
        </font>
        <numFmt numFmtId="168" formatCode="0.0%"/>
        <alignment vertical="center" readingOrder="0"/>
        <border outline="0">
          <top style="dotted">
            <color rgb="FF6F7779"/>
          </top>
        </border>
      </ndxf>
    </rcc>
    <rcc rId="0" sId="17" s="1" dxf="1" numFmtId="14">
      <nc r="K32">
        <v>0.432</v>
      </nc>
      <ndxf>
        <font>
          <sz val="8"/>
          <color auto="1"/>
          <name val="Open Sans"/>
          <scheme val="none"/>
        </font>
        <numFmt numFmtId="168" formatCode="0.0%"/>
        <alignment vertical="center" readingOrder="0"/>
        <border outline="0">
          <top style="dotted">
            <color rgb="FF6F7779"/>
          </top>
        </border>
      </ndxf>
    </rcc>
    <rcc rId="0" sId="17" s="1" dxf="1" numFmtId="14">
      <nc r="L32">
        <v>0.55100000000000005</v>
      </nc>
      <ndxf>
        <font>
          <sz val="8"/>
          <color auto="1"/>
          <name val="Open Sans"/>
          <scheme val="none"/>
        </font>
        <numFmt numFmtId="168" formatCode="0.0%"/>
        <alignment vertical="center" readingOrder="0"/>
        <border outline="0">
          <top style="dotted">
            <color rgb="FF6F7779"/>
          </top>
        </border>
      </ndxf>
    </rcc>
    <rcc rId="0" sId="17" s="1" dxf="1" numFmtId="14">
      <nc r="M32">
        <v>0.48699999999999999</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0" sId="17" s="1" dxf="1" numFmtId="14">
      <nc r="N32">
        <v>0.45700000000000002</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0" sId="17" s="1" dxf="1" numFmtId="14">
      <nc r="O32">
        <v>0.47199999999999998</v>
      </nc>
      <ndxf>
        <font>
          <sz val="8"/>
          <color auto="1"/>
          <name val="Open Sans"/>
          <scheme val="none"/>
        </font>
        <numFmt numFmtId="168" formatCode="0.0%"/>
        <fill>
          <patternFill patternType="solid">
            <bgColor theme="2"/>
          </patternFill>
        </fill>
        <alignment vertical="center" readingOrder="0"/>
        <border outline="0">
          <top style="dotted">
            <color rgb="FF6F7779"/>
          </top>
        </border>
      </ndxf>
    </rcc>
    <rcc rId="0" sId="17" s="1" dxf="1" numFmtId="14">
      <nc r="P32">
        <v>0.56299999999999994</v>
      </nc>
      <ndxf>
        <font>
          <sz val="8"/>
          <color auto="1"/>
          <name val="Open Sans"/>
          <scheme val="none"/>
        </font>
        <numFmt numFmtId="168" formatCode="0.0%"/>
        <alignment vertical="center" readingOrder="0"/>
        <border outline="0">
          <top style="dotted">
            <color rgb="FF6F7779"/>
          </top>
        </border>
      </ndxf>
    </rcc>
    <rcc rId="0" sId="17" s="1" dxf="1" numFmtId="14">
      <nc r="Q32">
        <v>0.51500000000000001</v>
      </nc>
      <ndxf>
        <font>
          <sz val="8"/>
          <color auto="1"/>
          <name val="Open Sans"/>
          <scheme val="none"/>
        </font>
        <numFmt numFmtId="168" formatCode="0.0%"/>
        <alignment vertical="center" readingOrder="0"/>
        <border outline="0">
          <top style="dotted">
            <color rgb="FF6F7779"/>
          </top>
        </border>
      </ndxf>
    </rcc>
    <rcc rId="0" sId="17" s="1" dxf="1" numFmtId="14">
      <nc r="R32">
        <v>0.48899999999999999</v>
      </nc>
      <ndxf>
        <font>
          <sz val="8"/>
          <color auto="1"/>
          <name val="Open Sans"/>
          <scheme val="none"/>
        </font>
        <numFmt numFmtId="168" formatCode="0.0%"/>
        <alignment vertical="center" readingOrder="0"/>
        <border outline="0">
          <top style="dotted">
            <color rgb="FF6F7779"/>
          </top>
        </border>
      </ndxf>
    </rcc>
    <rfmt sheetId="17" s="1" sqref="S32" start="0" length="0">
      <dxf>
        <font>
          <sz val="8"/>
          <color auto="1"/>
          <name val="Open Sans"/>
          <scheme val="none"/>
        </font>
        <numFmt numFmtId="168" formatCode="0.0%"/>
        <alignment vertical="center" readingOrder="0"/>
        <border outline="0">
          <top style="dotted">
            <color rgb="FF6F7779"/>
          </top>
        </border>
      </dxf>
    </rfmt>
    <rcc rId="0" sId="17" s="1" dxf="1" numFmtId="14">
      <nc r="T32">
        <v>0.48899999999999999</v>
      </nc>
      <ndxf>
        <font>
          <sz val="8"/>
          <color auto="1"/>
          <name val="Open Sans"/>
          <scheme val="none"/>
        </font>
        <numFmt numFmtId="168" formatCode="0.0%"/>
        <alignment vertical="center" readingOrder="0"/>
        <border outline="0">
          <top style="dotted">
            <color rgb="FF6F7779"/>
          </top>
        </border>
      </ndxf>
    </rcc>
    <rcc rId="0" sId="17" s="1" dxf="1" numFmtId="14">
      <nc r="U32">
        <v>0.51500000000000001</v>
      </nc>
      <ndxf>
        <font>
          <sz val="8"/>
          <color auto="1"/>
          <name val="Open Sans"/>
          <scheme val="none"/>
        </font>
        <numFmt numFmtId="168" formatCode="0.0%"/>
        <alignment vertical="center" readingOrder="0"/>
        <border outline="0">
          <top style="dotted">
            <color rgb="FF6F7779"/>
          </top>
        </border>
      </ndxf>
    </rcc>
    <rcc rId="0" sId="17" s="1" dxf="1" numFmtId="14">
      <nc r="V32">
        <v>0.48699999999999999</v>
      </nc>
      <ndxf>
        <font>
          <sz val="8"/>
          <color auto="1"/>
          <name val="Open Sans"/>
          <scheme val="none"/>
        </font>
        <numFmt numFmtId="168" formatCode="0.0%"/>
        <alignment vertical="center" readingOrder="0"/>
        <border outline="0">
          <top style="dotted">
            <color rgb="FF6F7779"/>
          </top>
        </border>
      </ndxf>
    </rcc>
    <rcc rId="0" sId="17" s="1" dxf="1" numFmtId="14">
      <nc r="W32">
        <v>0.48899999999999999</v>
      </nc>
      <ndxf>
        <font>
          <sz val="8"/>
          <color auto="1"/>
          <name val="Open Sans"/>
          <scheme val="none"/>
        </font>
        <numFmt numFmtId="168" formatCode="0.0%"/>
        <alignment vertical="center" readingOrder="0"/>
        <border outline="0">
          <top style="dotted">
            <color rgb="FF6F7779"/>
          </top>
        </border>
      </ndxf>
    </rcc>
    <rcc rId="0" sId="17" s="1" dxf="1" numFmtId="14">
      <nc r="X32">
        <v>0.45700000000000002</v>
      </nc>
      <ndxf>
        <font>
          <sz val="8"/>
          <color auto="1"/>
          <name val="Open Sans"/>
          <scheme val="none"/>
        </font>
        <numFmt numFmtId="168" formatCode="0.0%"/>
        <alignment vertical="center" readingOrder="0"/>
        <border outline="0">
          <top style="dotted">
            <color rgb="FF6F7779"/>
          </top>
        </border>
      </ndxf>
    </rcc>
    <rcc rId="0" sId="17" s="1" dxf="1" numFmtId="14">
      <nc r="Y32">
        <v>0.47299999999999998</v>
      </nc>
      <ndxf>
        <font>
          <sz val="8"/>
          <color auto="1"/>
          <name val="Open Sans"/>
          <scheme val="none"/>
        </font>
        <numFmt numFmtId="168" formatCode="0.0%"/>
        <alignment vertical="center" readingOrder="0"/>
        <border outline="0">
          <top style="dotted">
            <color rgb="FF6F7779"/>
          </top>
        </border>
      </ndxf>
    </rcc>
    <rcc rId="0" sId="17" s="1" dxf="1" numFmtId="14">
      <nc r="Z32">
        <v>0.432</v>
      </nc>
      <ndxf>
        <font>
          <sz val="8"/>
          <color auto="1"/>
          <name val="Open Sans"/>
          <scheme val="none"/>
        </font>
        <numFmt numFmtId="168" formatCode="0.0%"/>
        <alignment vertical="center" readingOrder="0"/>
        <border outline="0">
          <top style="dotted">
            <color rgb="FF6F7779"/>
          </top>
        </border>
      </ndxf>
    </rcc>
    <rcc rId="0" sId="17" s="1" dxf="1" numFmtId="14">
      <nc r="AA32">
        <v>0.56299999999999994</v>
      </nc>
      <ndxf>
        <font>
          <sz val="8"/>
          <color auto="1"/>
          <name val="Open Sans"/>
          <scheme val="none"/>
        </font>
        <numFmt numFmtId="168" formatCode="0.0%"/>
        <fill>
          <patternFill patternType="solid">
            <bgColor rgb="FFDEEDF2"/>
          </patternFill>
        </fill>
        <alignment vertical="center" readingOrder="0"/>
        <border outline="0">
          <top style="dotted">
            <color rgb="FF6F7779"/>
          </top>
        </border>
      </ndxf>
    </rcc>
    <rcc rId="0" sId="17" s="1" dxf="1" numFmtId="14">
      <nc r="AB32">
        <v>0.55100000000000005</v>
      </nc>
      <ndxf>
        <font>
          <sz val="8"/>
          <color auto="1"/>
          <name val="Open Sans"/>
          <scheme val="none"/>
        </font>
        <numFmt numFmtId="168" formatCode="0.0%"/>
        <alignment vertical="center" readingOrder="0"/>
        <border outline="0">
          <top style="dotted">
            <color rgb="FF6F7779"/>
          </top>
        </border>
      </ndxf>
    </rcc>
    <rcc rId="0" sId="17" s="1" dxf="1" numFmtId="14">
      <nc r="AC32">
        <v>0.45700000000000002</v>
      </nc>
      <ndxf>
        <font>
          <sz val="8"/>
          <color auto="1"/>
          <name val="Open Sans"/>
          <scheme val="none"/>
        </font>
        <numFmt numFmtId="168" formatCode="0.0%"/>
        <alignment vertical="center" readingOrder="0"/>
        <border outline="0">
          <top style="dotted">
            <color rgb="FF6F7779"/>
          </top>
        </border>
      </ndxf>
    </rcc>
  </rrc>
  <rrc rId="1710"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Wynik z tytułu odsetek / dochody ogółem</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Net interest income/Total income</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0.67800000000000005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0.67200000000000004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0.67700000000000005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0.68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I32">
        <v>0.66800000000000004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J32">
        <v>0.67600000000000005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K32">
        <v>0.65900000000000003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L32">
        <v>0.71699999999999997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M32">
        <v>0.69799999999999995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0.69699999999999995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0.69499999999999995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0.72799999999999998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Q32">
        <v>0.71499999999999997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R32">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cc rId="0" sId="17" s="1" dxf="1" numFmtId="14">
      <nc r="T32">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U32">
        <v>0.71499999999999997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V32">
        <v>0.69799999999999995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W32">
        <v>0.69299999999999995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X32">
        <v>0.69699999999999995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Y32">
        <v>0.69399999999999995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Z32">
        <v>0.65900000000000003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A32">
        <v>0.72799999999999998</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0.71699999999999997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0.69699999999999995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1"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Marża odsetkowa netto 1)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Net interest margin 1)</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3.7400000000000003E-2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E32">
        <v>3.78E-2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F32">
        <v>3.7999999999999999E-2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G32">
        <v>3.8300000000000001E-2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H32">
        <v>3.95E-2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I32">
        <v>3.85E-2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J32">
        <v>3.7699999999999997E-2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K32">
        <v>3.6600000000000001E-2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L32">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M32">
        <v>3.4799999999999998E-2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3.5000000000000003E-2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3.4599999999999999E-2</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3.32E-2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Q32">
        <v>3.09E-2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R32">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cc rId="0" sId="17" s="1" dxf="1" numFmtId="14">
      <nc r="T32">
        <v>2.9499999999999998E-2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U32">
        <v>3.1E-2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V32">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W32">
        <v>0.03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X32">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Y32">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Z32">
        <v>3.6999999999999998E-2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A32">
        <v>3.32E-2</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3.4799999999999998E-2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C32">
        <v>3.5000000000000003E-2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rc>
  <rrc rId="1712"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Wynik z tytułu prowizji / dochody ogółem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 xml:space="preserve">Net commission income/Total income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0.25700000000000001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0.255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0.26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0.25900000000000001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0.25900000000000001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0.25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0.251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0.23599999999999999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0.23200000000000001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0.22500000000000001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0.224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0.22500000000000001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0.23899999999999999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0.23799999999999999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0.23799999999999999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0.22500000000000001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0.245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0.224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0.224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0.23599999999999999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0.23899999999999999</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0.23200000000000001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0.224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3"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Należności netto od klientów / zobowiązania wobec klientów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 xml:space="preserve">Customer net loans/Customer deposits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0.95899999999999996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0.96299999999999997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0.95899999999999996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0.96699999999999997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0.96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0.93600000000000005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0.93500000000000005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0.91900000000000004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0.93899999999999995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0.94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0.95199999999999996</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0.91600000000000004</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0.93600000000000005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0.86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0.86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0.94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0.85199999999999998</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0.95199999999999996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0.91600000000000004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0.91900000000000004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0.93600000000000005</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0.93899999999999995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0.95199999999999996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4"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Wskaźnik kredytów niepracujących 2)</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NPL ratio 2)</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6.4000000000000001E-2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5.8999999999999997E-2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0.06</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5.8000000000000003E-2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0.06</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5.8000000000000003E-2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5.5E-2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4.5999999999999999E-2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4.8000000000000001E-2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4.7E-2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0.05</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5.1999999999999998E-2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5.1999999999999998E-2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5.6000000000000001E-2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5.6000000000000001E-2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4.7E-2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5.7000000000000002E-2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0.05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5.1999999999999998E-2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4.5999999999999999E-2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5.1999999999999998E-2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4.8000000000000001E-2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0.05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5"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Wskaźnik pokrycia rezerwą kredytów niepracujących 3)</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NPL coverage ratio 3)</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0.59199999999999997</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0.621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0.628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0.63100000000000001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0.627</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0.63800000000000001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0.63600000000000001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0.50900000000000001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0.52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0.53600000000000003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0.53400000000000003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0.53800000000000003</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0.53900000000000003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0.54800000000000004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0.54800000000000004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0.53600000000000003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0.56899999999999995</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0.53400000000000003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0.53800000000000003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0.50900000000000001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0.53900000000000003</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0.52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0.53400000000000003</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6"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Wskaźnik kosztu ryzyka kredytowego 4)</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Credit risk ratio 4)</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7.3000000000000001E-3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E32">
        <v>6.6E-3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F32">
        <v>6.4000000000000003E-3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G32">
        <v>6.3E-3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H32">
        <v>6.6E-3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7.9000000000000008E-3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8.0000000000000002E-3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8.6E-3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8.0999999999999996E-3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8.8000000000000005E-3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9.1999999999999998E-3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8.5000000000000006E-3</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9.5999999999999992E-3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1.06E-2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1.0699999999999999E-2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1.0999999999999999E-2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1.0999999999999999E-2</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8.9999999999999993E-3</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9.5999999999999992E-3</v>
      </nc>
      <ndxf>
        <font>
          <sz val="8"/>
          <color auto="1"/>
          <name val="Open Sans"/>
          <scheme val="none"/>
        </font>
        <numFmt numFmtId="1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8.0999999999999996E-3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C32">
        <v>9.1999999999999998E-3</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rc>
  <rrc rId="1717"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ROE (zwrot z kapitału) 5)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ROE 5)</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0.115</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0.11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0.11700000000000001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0.121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0.113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0.113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0.11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0.11899999999999999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0.104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0.10100000000000001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0.11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9.7000000000000003E-2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8.5000000000000006E-2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7.0999999999999994E-2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7.0999999999999994E-2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0.10100000000000001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6.2E-2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0.11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9.7000000000000003E-2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0.11899999999999999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8.5000000000000006E-2</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0.104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0.11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8"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ROTE (zwrot z kapitału materialnego) 6)</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ROTE 6)</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0.13300000000000001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0.128</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0.13700000000000001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0.14199999999999999</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0.13300000000000001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0.13300000000000001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0.13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0.14199999999999999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0.124</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0.121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0.13200000000000001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0.11700000000000001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0.10100000000000001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8.5999999999999993E-2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8.5999999999999993E-2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0.121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7.4999999999999997E-2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0.13200000000000001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0.11700000000000001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0.14199999999999999</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0.10100000000000001</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0.124</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0.13200000000000001</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19"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ROA (zwrot z aktywów) 7)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ROA 7)</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E32">
        <v>1.2999999999999999E-2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F32">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G32">
        <v>1.4E-2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H32">
        <v>1.4E-2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1.0999999999999999E-2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1.0999999999999999E-2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1.2E-2</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0.01</v>
      </nc>
      <ndxf>
        <font>
          <sz val="8"/>
          <color auto="1"/>
          <name val="Open Sans"/>
          <scheme val="none"/>
        </font>
        <numFmt numFmtId="168" formatCode="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8.9999999999999993E-3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8.0000000000000002E-3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8.0000000000000002E-3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1.0999999999999999E-2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7.0000000000000001E-3</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1.2E-2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0.01</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1.2999999999999999E-2</v>
      </nc>
      <ndxf>
        <font>
          <sz val="8"/>
          <color auto="1"/>
          <name val="Open Sans"/>
          <scheme val="none"/>
        </font>
        <numFmt numFmtId="168" formatCode="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8.9999999999999993E-3</v>
      </nc>
      <ndxf>
        <font>
          <sz val="8"/>
          <color auto="1"/>
          <name val="Open Sans"/>
          <scheme val="none"/>
        </font>
        <numFmt numFmtId="168" formatCode="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14">
      <nc r="AB32">
        <v>1.0999999999999999E-2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cc rId="0" sId="17" s="1" dxf="1" numFmtId="14">
      <nc r="AC32">
        <v>1.2E-2</v>
      </nc>
      <ndxf>
        <font>
          <sz val="8"/>
          <color auto="1"/>
          <name val="Open Sans"/>
          <scheme val="none"/>
        </font>
        <numFmt numFmtId="168" formatCode="0.0%"/>
        <alignment vertical="center" readingOrder="0"/>
        <border outline="0">
          <top style="dotted">
            <color theme="0" tint="-0.34998626667073579"/>
          </top>
          <bottom style="dotted">
            <color theme="0" tint="-0.34998626667073579"/>
          </bottom>
        </border>
      </ndxf>
    </rcc>
  </rrc>
  <rrc rId="1720"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Współczynnik kapitałowy 8)</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Capital ratio 8)</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0.15670000000000001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E32">
        <v>0.1651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F32">
        <v>0.16900000000000001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G32">
        <v>0.16689999999999999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H32">
        <v>0.16669999999999999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I32">
        <v>0.17780000000000001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J32">
        <v>0.17610000000000001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K32">
        <v>0.1598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L32">
        <v>0.16470000000000001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M32">
        <v>0.16259999999999999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0.16139999999999999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0.17069999999999999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0.16789999999999999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Q32">
        <v>0.18759999999999999</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R32">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cc rId="0" sId="17" s="1" dxf="1" numFmtId="14">
      <nc r="T32">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U32">
        <v>0.188</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V32">
        <v>0.16300000000000001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W32">
        <v>0.187</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X32">
        <v>0.161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Y32">
        <v>0.17100000000000001</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Z32">
        <v>0.16</v>
      </nc>
      <n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ndxf>
    </rcc>
    <rcc rId="0" sId="17" s="1" dxf="1" numFmtId="14">
      <nc r="AA32">
        <v>0.16789999999999999</v>
      </nc>
      <ndxf>
        <font>
          <sz val="8"/>
          <color auto="1"/>
          <name val="Open Sans"/>
          <scheme val="none"/>
        </font>
        <numFmt numFmtId="14" formatCode="0.00%"/>
        <fill>
          <patternFill patternType="solid">
            <bgColor rgb="FFDEEDF2"/>
          </patternFill>
        </fill>
        <alignment horizontal="right" vertical="center" readingOrder="0"/>
        <border outline="0">
          <top style="dotted">
            <color theme="0" tint="-0.34998626667073579"/>
          </top>
          <bottom style="dotted">
            <color theme="0" tint="-0.34998626667073579"/>
          </bottom>
        </border>
      </ndxf>
    </rcc>
    <rcc rId="0" sId="17" s="1" dxf="1" numFmtId="14">
      <nc r="AB32">
        <v>0.16470000000000001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C32">
        <v>0.16139999999999999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rc>
  <rrc rId="1721"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Współczynnik kapitału  Tier I 9)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Tier I ratio 9)</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14">
      <nc r="D32">
        <v>0.14699999999999999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E32">
        <v>0.15529999999999999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F32">
        <v>0.15920000000000001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G32">
        <v>0.15279999999999999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H32">
        <v>0.15310000000000001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I32">
        <v>0.15629999999999999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J32">
        <v>0.15509999999999999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K32">
        <v>0.1411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L32">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M32">
        <v>0.14449999999999999</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N32">
        <v>0.1431</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O32">
        <v>0.15210000000000001</v>
      </nc>
      <ndxf>
        <font>
          <sz val="8"/>
          <color auto="1"/>
          <name val="Open Sans"/>
          <scheme val="none"/>
        </font>
        <numFmt numFmtId="1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14">
      <nc r="P32">
        <v>0.14910000000000001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Q32">
        <v>0.1681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R32">
        <v>0.1676</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cc rId="0" sId="17" s="1" dxf="1" numFmtId="14">
      <nc r="T32">
        <v>0.1676</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U32">
        <v>0.16800000000000001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V32">
        <v>0.14499999999999999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W32">
        <v>0.16800000000000001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X32">
        <v>0.14299999999999999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Y32">
        <v>0.152</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Z32">
        <v>0.14099999999999999</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A32">
        <v>0.14910000000000001</v>
      </nc>
      <ndxf>
        <font>
          <sz val="8"/>
          <color auto="1"/>
          <name val="Open Sans"/>
          <scheme val="none"/>
        </font>
        <numFmt numFmtId="14" formatCode="0.00%"/>
        <fill>
          <patternFill patternType="solid">
            <bgColor rgb="FFDEEDF2"/>
          </patternFill>
        </fill>
        <alignment horizontal="right" vertical="center" readingOrder="0"/>
        <border outline="0">
          <top style="dotted">
            <color theme="0" tint="-0.34998626667073579"/>
          </top>
          <bottom style="dotted">
            <color theme="0" tint="-0.34998626667073579"/>
          </bottom>
        </border>
      </ndxf>
    </rcc>
    <rcc rId="0" sId="17" s="1" dxf="1" numFmtId="14">
      <nc r="AB32">
        <v>0.14630000000000001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cc rId="0" sId="17" s="1" dxf="1" numFmtId="14">
      <nc r="AC32">
        <v>0.1431</v>
      </nc>
      <ndxf>
        <font>
          <sz val="8"/>
          <color auto="1"/>
          <name val="Open Sans"/>
          <scheme val="none"/>
        </font>
        <numFmt numFmtId="14" formatCode="0.00%"/>
        <alignment vertical="center" readingOrder="0"/>
        <border outline="0">
          <top style="dotted">
            <color theme="0" tint="-0.34998626667073579"/>
          </top>
          <bottom style="dotted">
            <color theme="0" tint="-0.34998626667073579"/>
          </bottom>
        </border>
      </ndxf>
    </rcc>
  </rrc>
  <rrc rId="1722"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Wartość księgowa na jedną akcję (w zł) </t>
        </is>
      </nc>
      <ndxf>
        <font>
          <sz val="8"/>
          <color auto="1"/>
          <name val="Open Sans"/>
          <scheme val="none"/>
        </font>
        <alignment horizontal="left" vertical="center" wrapText="1" indent="1" readingOrder="0"/>
        <border outline="0">
          <left style="thin">
            <color indexed="9"/>
          </left>
          <top style="dotted">
            <color theme="0" tint="-0.34998626667073579"/>
          </top>
          <bottom style="dotted">
            <color theme="0" tint="-0.34998626667073579"/>
          </bottom>
        </border>
      </ndxf>
    </rcc>
    <rcc rId="0" sId="17" s="1" dxf="1">
      <nc r="C32" t="inlineStr">
        <is>
          <t xml:space="preserve">Book value per share (in PLN) </t>
        </is>
      </nc>
      <ndxf>
        <font>
          <sz val="8"/>
          <color auto="1"/>
          <name val="Open Sans"/>
          <scheme val="none"/>
        </font>
        <alignment horizontal="left" vertical="center" wrapText="1" indent="1" readingOrder="0"/>
        <border outline="0">
          <left style="thin">
            <color indexed="9"/>
          </left>
          <top style="dotted">
            <color rgb="FFA6A6A6"/>
          </top>
          <bottom style="dotted">
            <color rgb="FFA6A6A6"/>
          </bottom>
        </border>
      </ndxf>
    </rcc>
    <rcc rId="0" sId="17" s="1" dxf="1" numFmtId="4">
      <nc r="D32">
        <v>218.58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E32">
        <v>220.65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F32">
        <v>228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G32">
        <v>234.86</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H32">
        <v>239.04</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I32">
        <v>241.21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J32">
        <v>246.75</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K32">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L32">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M32">
        <v>250.07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4">
      <nc r="N32">
        <v>258.77999999999997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4">
      <nc r="O32">
        <v>264.27999999999997</v>
      </nc>
      <ndxf>
        <font>
          <sz val="8"/>
          <color auto="1"/>
          <name val="Open Sans"/>
          <scheme val="none"/>
        </font>
        <numFmt numFmtId="4" formatCode="#,##0.00"/>
        <fill>
          <patternFill patternType="solid">
            <bgColor theme="2"/>
          </patternFill>
        </fill>
        <alignment vertical="center" readingOrder="0"/>
        <border outline="0">
          <top style="dotted">
            <color theme="0" tint="-0.34998626667073579"/>
          </top>
          <bottom style="dotted">
            <color theme="0" tint="-0.34998626667073579"/>
          </bottom>
        </border>
      </ndxf>
    </rcc>
    <rcc rId="0" sId="17" s="1" dxf="1" numFmtId="4">
      <nc r="P32">
        <v>266.83999999999997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Q32">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R32">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fmt sheetId="17" s="1" sqref="S32"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cc rId="0" sId="17" s="1" dxf="1" numFmtId="4">
      <nc r="T32">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U32">
        <v>273.17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V32">
        <v>250.07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W32">
        <v>278.45999999999998</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X32">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Y32">
        <v>264.27999999999997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Z32">
        <v>260.51</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AA32">
        <v>266.83999999999997</v>
      </nc>
      <ndxf>
        <font>
          <sz val="8"/>
          <color auto="1"/>
          <name val="Open Sans"/>
          <scheme val="none"/>
        </font>
        <numFmt numFmtId="4" formatCode="#,##0.00"/>
        <fill>
          <patternFill patternType="solid">
            <bgColor rgb="FFDEEDF2"/>
          </patternFill>
        </fill>
        <alignment vertical="center" readingOrder="0"/>
        <border outline="0">
          <top style="dotted">
            <color theme="0" tint="-0.34998626667073579"/>
          </top>
          <bottom style="dotted">
            <color theme="0" tint="-0.34998626667073579"/>
          </bottom>
        </border>
      </ndxf>
    </rcc>
    <rcc rId="0" sId="17" s="1" dxf="1" numFmtId="4">
      <nc r="AB32">
        <v>262.42</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cc rId="0" sId="17" s="1" dxf="1" numFmtId="4">
      <nc r="AC32">
        <v>258.77999999999997</v>
      </nc>
      <ndxf>
        <font>
          <sz val="8"/>
          <color auto="1"/>
          <name val="Open Sans"/>
          <scheme val="none"/>
        </font>
        <numFmt numFmtId="4" formatCode="#,##0.00"/>
        <alignment vertical="center" readingOrder="0"/>
        <border outline="0">
          <top style="dotted">
            <color theme="0" tint="-0.34998626667073579"/>
          </top>
          <bottom style="dotted">
            <color theme="0" tint="-0.34998626667073579"/>
          </bottom>
        </border>
      </ndxf>
    </rcc>
  </rrc>
  <rrc rId="1723"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0" sId="17" s="1" dxf="1">
      <nc r="B32" t="inlineStr">
        <is>
          <t xml:space="preserve">Zysk na jedną akcję zwykłą (w zł) 10) </t>
        </is>
      </nc>
      <ndxf>
        <font>
          <sz val="8"/>
          <color auto="1"/>
          <name val="Open Sans"/>
          <scheme val="none"/>
        </font>
        <alignment horizontal="left" vertical="center" wrapText="1" indent="1" readingOrder="0"/>
        <border outline="0">
          <bottom style="medium">
            <color rgb="FFCC0000"/>
          </bottom>
        </border>
      </ndxf>
    </rcc>
    <rcc rId="0" sId="17" s="1" dxf="1">
      <nc r="C32" t="inlineStr">
        <is>
          <t>Earnings per share (in PLN) 10)</t>
        </is>
      </nc>
      <ndxf>
        <font>
          <sz val="8"/>
          <color auto="1"/>
          <name val="Open Sans"/>
          <scheme val="none"/>
        </font>
        <alignment horizontal="left" vertical="center" wrapText="1" indent="1" readingOrder="0"/>
        <border outline="0">
          <bottom style="medium">
            <color rgb="FFCC0000"/>
          </bottom>
        </border>
      </ndxf>
    </rcc>
    <rcc rId="0" sId="17" s="1" dxf="1" numFmtId="4">
      <nc r="D32">
        <v>4.5599999999999996</v>
      </nc>
      <ndxf>
        <font>
          <sz val="8"/>
          <color auto="1"/>
          <name val="Open Sans"/>
          <scheme val="none"/>
        </font>
        <numFmt numFmtId="4" formatCode="#,##0.00"/>
        <alignment vertical="center" readingOrder="0"/>
        <border outline="0">
          <bottom style="medium">
            <color rgb="FFCC0000"/>
          </bottom>
        </border>
      </ndxf>
    </rcc>
    <rcc rId="0" sId="17" s="1" dxf="1" numFmtId="4">
      <nc r="E32">
        <v>11.09</v>
      </nc>
      <ndxf>
        <font>
          <sz val="8"/>
          <color auto="1"/>
          <name val="Open Sans"/>
          <scheme val="none"/>
        </font>
        <numFmt numFmtId="4" formatCode="#,##0.00"/>
        <alignment vertical="center" readingOrder="0"/>
        <border outline="0">
          <bottom style="medium">
            <color rgb="FFCC0000"/>
          </bottom>
        </border>
      </ndxf>
    </rcc>
    <rcc rId="0" sId="17" s="1" dxf="1" numFmtId="4">
      <nc r="F32">
        <v>16.57</v>
      </nc>
      <ndxf>
        <font>
          <sz val="8"/>
          <color auto="1"/>
          <name val="Open Sans"/>
          <scheme val="none"/>
        </font>
        <numFmt numFmtId="4" formatCode="#,##0.00"/>
        <alignment vertical="center" readingOrder="0"/>
        <border outline="0">
          <bottom style="medium">
            <color rgb="FFCC0000"/>
          </bottom>
        </border>
      </ndxf>
    </rcc>
    <rcc rId="0" sId="17" s="1" dxf="1" numFmtId="4">
      <nc r="G32">
        <v>22.15</v>
      </nc>
      <ndxf>
        <font>
          <sz val="8"/>
          <color auto="1"/>
          <name val="Open Sans"/>
          <scheme val="none"/>
        </font>
        <numFmt numFmtId="4" formatCode="#,##0.00"/>
        <alignment vertical="center" readingOrder="0"/>
        <border outline="0">
          <bottom style="medium">
            <color rgb="FFCC0000"/>
          </bottom>
        </border>
      </ndxf>
    </rcc>
    <rcc rId="0" sId="17" s="1" dxf="1" numFmtId="4">
      <nc r="H32">
        <v>4.37</v>
      </nc>
      <ndxf>
        <font>
          <sz val="8"/>
          <color auto="1"/>
          <name val="Open Sans"/>
          <scheme val="none"/>
        </font>
        <numFmt numFmtId="4" formatCode="#,##0.00"/>
        <alignment vertical="center" readingOrder="0"/>
        <border outline="0">
          <bottom style="medium">
            <color rgb="FFCC0000"/>
          </bottom>
        </border>
      </ndxf>
    </rcc>
    <rcc rId="0" sId="17" s="1" dxf="1" numFmtId="4">
      <nc r="I32">
        <v>10.85</v>
      </nc>
      <ndxf>
        <font>
          <sz val="8"/>
          <color auto="1"/>
          <name val="Open Sans"/>
          <scheme val="none"/>
        </font>
        <numFmt numFmtId="4" formatCode="#,##0.00"/>
        <alignment vertical="center" readingOrder="0"/>
        <border outline="0">
          <bottom style="medium">
            <color rgb="FFCC0000"/>
          </bottom>
        </border>
      </ndxf>
    </rcc>
    <rcc rId="0" sId="17" s="1" dxf="1" numFmtId="4">
      <nc r="J32">
        <v>15.86</v>
      </nc>
      <ndxf>
        <font>
          <sz val="8"/>
          <color auto="1"/>
          <name val="Open Sans"/>
          <scheme val="none"/>
        </font>
        <numFmt numFmtId="4" formatCode="#,##0.00"/>
        <alignment vertical="center" readingOrder="0"/>
        <border outline="0">
          <bottom style="medium">
            <color rgb="FFCC0000"/>
          </bottom>
        </border>
      </ndxf>
    </rcc>
    <rcc rId="0" sId="17" s="1" dxf="1" numFmtId="4">
      <nc r="K32">
        <v>23.7</v>
      </nc>
      <ndxf>
        <font>
          <sz val="8"/>
          <color auto="1"/>
          <name val="Open Sans"/>
          <scheme val="none"/>
        </font>
        <numFmt numFmtId="4" formatCode="#,##0.00"/>
        <alignment vertical="center" readingOrder="0"/>
        <border outline="0">
          <bottom style="medium">
            <color rgb="FFCC0000"/>
          </bottom>
        </border>
      </ndxf>
    </rcc>
    <rcc rId="0" sId="17" s="1" dxf="1" numFmtId="4">
      <nc r="L32">
        <v>3.32</v>
      </nc>
      <ndxf>
        <font>
          <sz val="8"/>
          <color auto="1"/>
          <name val="Open Sans"/>
          <scheme val="none"/>
        </font>
        <numFmt numFmtId="4" formatCode="#,##0.00"/>
        <alignment vertical="center" readingOrder="0"/>
        <border outline="0">
          <bottom style="medium">
            <color rgb="FFCC0000"/>
          </bottom>
        </border>
      </ndxf>
    </rcc>
    <rcc rId="0" sId="17" s="1" dxf="1" numFmtId="4">
      <nc r="M32">
        <v>9.16</v>
      </nc>
      <ndxf>
        <font>
          <sz val="8"/>
          <color auto="1"/>
          <name val="Open Sans"/>
          <scheme val="none"/>
        </font>
        <numFmt numFmtId="4" formatCode="#,##0.00"/>
        <fill>
          <patternFill patternType="solid">
            <bgColor theme="2"/>
          </patternFill>
        </fill>
        <alignment vertical="center" wrapText="1" readingOrder="0"/>
        <border outline="0">
          <bottom style="medium">
            <color rgb="FFCC0000"/>
          </bottom>
        </border>
      </ndxf>
    </rcc>
    <rcc rId="0" sId="17" s="1" dxf="1" numFmtId="4">
      <nc r="N32">
        <v>15.98</v>
      </nc>
      <ndxf>
        <font>
          <sz val="8"/>
          <color auto="1"/>
          <name val="Open Sans"/>
          <scheme val="none"/>
        </font>
        <numFmt numFmtId="4" formatCode="#,##0.00"/>
        <fill>
          <patternFill patternType="solid">
            <bgColor theme="2"/>
          </patternFill>
        </fill>
        <alignment vertical="center" wrapText="1" readingOrder="0"/>
        <border outline="0">
          <bottom style="medium">
            <color rgb="FFCC0000"/>
          </bottom>
        </border>
      </ndxf>
    </rcc>
    <rcc rId="0" sId="17" s="1" dxf="1" numFmtId="4">
      <nc r="O32">
        <v>20.95</v>
      </nc>
      <ndxf>
        <font>
          <sz val="8"/>
          <color auto="1"/>
          <name val="Open Sans"/>
          <scheme val="none"/>
        </font>
        <numFmt numFmtId="4" formatCode="#,##0.00"/>
        <fill>
          <patternFill patternType="solid">
            <bgColor theme="2"/>
          </patternFill>
        </fill>
        <alignment vertical="center" readingOrder="0"/>
        <border outline="0">
          <bottom style="medium">
            <color rgb="FFCC0000"/>
          </bottom>
        </border>
      </ndxf>
    </rcc>
    <rcc rId="0" sId="17" s="1" dxf="1" numFmtId="4">
      <nc r="P32">
        <v>1.67</v>
      </nc>
      <ndxf>
        <font>
          <sz val="8"/>
          <color auto="1"/>
          <name val="Open Sans"/>
          <scheme val="none"/>
        </font>
        <numFmt numFmtId="4" formatCode="#,##0.00"/>
        <alignment vertical="center" readingOrder="0"/>
        <border outline="0">
          <bottom style="medium">
            <color rgb="FFCC0000"/>
          </bottom>
        </border>
      </ndxf>
    </rcc>
    <rcc rId="0" sId="17" s="1" dxf="1" numFmtId="4">
      <nc r="Q32">
        <v>4.66</v>
      </nc>
      <ndxf>
        <font>
          <sz val="8"/>
          <color auto="1"/>
          <name val="Open Sans"/>
          <scheme val="none"/>
        </font>
        <numFmt numFmtId="4" formatCode="#,##0.00"/>
        <alignment vertical="center" readingOrder="0"/>
        <border outline="0">
          <bottom style="medium">
            <color rgb="FFCC0000"/>
          </bottom>
        </border>
      </ndxf>
    </rcc>
    <rcc rId="0" sId="17" s="1" dxf="1" numFmtId="4">
      <nc r="R32">
        <v>9.36</v>
      </nc>
      <ndxf>
        <font>
          <sz val="8"/>
          <color auto="1"/>
          <name val="Open Sans"/>
          <scheme val="none"/>
        </font>
        <numFmt numFmtId="4" formatCode="#,##0.00"/>
        <alignment vertical="center" readingOrder="0"/>
        <border outline="0">
          <bottom style="medium">
            <color rgb="FFCC0000"/>
          </bottom>
        </border>
      </ndxf>
    </rcc>
    <rfmt sheetId="17" s="1" sqref="S32" start="0" length="0">
      <dxf>
        <font>
          <sz val="8"/>
          <color auto="1"/>
          <name val="Open Sans"/>
          <scheme val="none"/>
        </font>
        <numFmt numFmtId="4" formatCode="#,##0.00"/>
        <alignment vertical="center" readingOrder="0"/>
        <border outline="0">
          <bottom style="medium">
            <color rgb="FFCC0000"/>
          </bottom>
        </border>
      </dxf>
    </rfmt>
    <rcc rId="0" sId="17" s="1" dxf="1" numFmtId="4">
      <nc r="T32">
        <v>9.36</v>
      </nc>
      <ndxf>
        <font>
          <sz val="8"/>
          <color auto="1"/>
          <name val="Open Sans"/>
          <scheme val="none"/>
        </font>
        <numFmt numFmtId="4" formatCode="#,##0.00"/>
        <alignment vertical="center" readingOrder="0"/>
        <border outline="0">
          <bottom style="medium">
            <color rgb="FFCC0000"/>
          </bottom>
        </border>
      </ndxf>
    </rcc>
    <rcc rId="0" sId="17" s="1" dxf="1" numFmtId="4">
      <nc r="U32">
        <v>4.66</v>
      </nc>
      <ndxf>
        <font>
          <sz val="8"/>
          <color auto="1"/>
          <name val="Open Sans"/>
          <scheme val="none"/>
        </font>
        <numFmt numFmtId="4" formatCode="#,##0.00"/>
        <alignment vertical="center" readingOrder="0"/>
        <border outline="0">
          <bottom style="medium">
            <color rgb="FFCC0000"/>
          </bottom>
        </border>
      </ndxf>
    </rcc>
    <rcc rId="0" sId="17" s="1" dxf="1" numFmtId="4">
      <nc r="V32">
        <v>9.16</v>
      </nc>
      <ndxf>
        <font>
          <sz val="8"/>
          <color auto="1"/>
          <name val="Open Sans"/>
          <scheme val="none"/>
        </font>
        <numFmt numFmtId="4" formatCode="#,##0.00"/>
        <alignment vertical="center" readingOrder="0"/>
        <border outline="0">
          <bottom style="medium">
            <color rgb="FFCC0000"/>
          </bottom>
        </border>
      </ndxf>
    </rcc>
    <rcc rId="0" sId="17" s="1" dxf="1" numFmtId="4">
      <nc r="W32">
        <v>9.36</v>
      </nc>
      <ndxf>
        <font>
          <sz val="8"/>
          <color auto="1"/>
          <name val="Open Sans"/>
          <scheme val="none"/>
        </font>
        <numFmt numFmtId="4" formatCode="#,##0.00"/>
        <alignment vertical="center" readingOrder="0"/>
        <border outline="0">
          <bottom style="medium">
            <color rgb="FFCC0000"/>
          </bottom>
        </border>
      </ndxf>
    </rcc>
    <rcc rId="0" sId="17" s="1" dxf="1" numFmtId="4">
      <nc r="X32">
        <v>15.98</v>
      </nc>
      <ndxf>
        <font>
          <sz val="8"/>
          <color auto="1"/>
          <name val="Open Sans"/>
          <scheme val="none"/>
        </font>
        <numFmt numFmtId="4" formatCode="#,##0.00"/>
        <alignment vertical="center" readingOrder="0"/>
        <border outline="0">
          <bottom style="medium">
            <color rgb="FFCC0000"/>
          </bottom>
        </border>
      </ndxf>
    </rcc>
    <rcc rId="0" sId="17" s="1" dxf="1" numFmtId="4">
      <nc r="Y32">
        <v>20.95</v>
      </nc>
      <ndxf>
        <font>
          <sz val="8"/>
          <color auto="1"/>
          <name val="Open Sans"/>
          <scheme val="none"/>
        </font>
        <numFmt numFmtId="4" formatCode="#,##0.00"/>
        <alignment vertical="center" readingOrder="0"/>
        <border outline="0">
          <bottom style="medium">
            <color rgb="FFCC0000"/>
          </bottom>
        </border>
      </ndxf>
    </rcc>
    <rcc rId="0" sId="17" s="1" dxf="1" numFmtId="4">
      <nc r="Z32">
        <v>23.7</v>
      </nc>
      <ndxf>
        <font>
          <sz val="8"/>
          <color auto="1"/>
          <name val="Open Sans"/>
          <scheme val="none"/>
        </font>
        <numFmt numFmtId="4" formatCode="#,##0.00"/>
        <alignment vertical="center" readingOrder="0"/>
        <border outline="0">
          <bottom style="medium">
            <color rgb="FFCC0000"/>
          </bottom>
        </border>
      </ndxf>
    </rcc>
    <rcc rId="0" sId="17" s="1" dxf="1" numFmtId="4">
      <nc r="AA32">
        <v>1.67</v>
      </nc>
      <ndxf>
        <font>
          <sz val="8"/>
          <color auto="1"/>
          <name val="Open Sans"/>
          <scheme val="none"/>
        </font>
        <numFmt numFmtId="4" formatCode="#,##0.00"/>
        <fill>
          <patternFill patternType="solid">
            <bgColor rgb="FFDEEDF2"/>
          </patternFill>
        </fill>
        <alignment vertical="center" wrapText="1" readingOrder="0"/>
        <border outline="0">
          <bottom style="medium">
            <color rgb="FFCC0000"/>
          </bottom>
        </border>
      </ndxf>
    </rcc>
    <rcc rId="0" sId="17" s="1" dxf="1" numFmtId="4">
      <nc r="AB32">
        <v>3.32</v>
      </nc>
      <ndxf>
        <font>
          <sz val="8"/>
          <color auto="1"/>
          <name val="Open Sans"/>
          <scheme val="none"/>
        </font>
        <numFmt numFmtId="4" formatCode="#,##0.00"/>
        <alignment vertical="center" readingOrder="0"/>
        <border outline="0">
          <bottom style="medium">
            <color rgb="FFCC0000"/>
          </bottom>
        </border>
      </ndxf>
    </rcc>
    <rcc rId="0" sId="17" s="1" dxf="1" numFmtId="4">
      <nc r="AC32">
        <v>15.98</v>
      </nc>
      <ndxf>
        <font>
          <sz val="8"/>
          <color auto="1"/>
          <name val="Open Sans"/>
          <scheme val="none"/>
        </font>
        <numFmt numFmtId="4" formatCode="#,##0.00"/>
        <alignment vertical="center" readingOrder="0"/>
        <border outline="0">
          <bottom style="medium">
            <color rgb="FFCC0000"/>
          </bottom>
        </border>
      </ndxf>
    </rcc>
  </rrc>
  <rrc rId="1724"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B32" start="0" length="0">
      <dxf>
        <font>
          <sz val="8"/>
          <color auto="1"/>
          <name val="Swis721CnEU"/>
          <scheme val="none"/>
        </font>
      </dxf>
    </rfmt>
    <rfmt sheetId="17" s="1" sqref="C32" start="0" length="0">
      <dxf>
        <font>
          <sz val="8"/>
          <color auto="1"/>
          <name val="Swis721CnEU"/>
          <scheme val="none"/>
        </font>
      </dxf>
    </rfmt>
    <rfmt sheetId="17" s="1" sqref="D32" start="0" length="0">
      <dxf>
        <font>
          <sz val="8"/>
          <color auto="1"/>
          <name val="Swis721CnEU"/>
          <scheme val="none"/>
        </font>
      </dxf>
    </rfmt>
    <rfmt sheetId="17" s="1" sqref="E32" start="0" length="0">
      <dxf>
        <font>
          <sz val="8"/>
          <color auto="1"/>
          <name val="Swis721CnEU"/>
          <scheme val="none"/>
        </font>
      </dxf>
    </rfmt>
    <rfmt sheetId="17" s="1" sqref="F32" start="0" length="0">
      <dxf>
        <font>
          <sz val="8"/>
          <color auto="1"/>
          <name val="Swis721CnEU"/>
          <scheme val="none"/>
        </font>
      </dxf>
    </rfmt>
    <rfmt sheetId="17" s="1" sqref="G32" start="0" length="0">
      <dxf>
        <font>
          <sz val="8"/>
          <color auto="1"/>
          <name val="Swis721CnEU"/>
          <scheme val="none"/>
        </font>
      </dxf>
    </rfmt>
    <rfmt sheetId="17" s="1" sqref="H32" start="0" length="0">
      <dxf>
        <font>
          <sz val="8"/>
          <color auto="1"/>
          <name val="Swis721CnEU"/>
          <scheme val="none"/>
        </font>
      </dxf>
    </rfmt>
    <rfmt sheetId="17" s="1" sqref="I32" start="0" length="0">
      <dxf>
        <font>
          <sz val="8"/>
          <color auto="1"/>
          <name val="Swis721CnEU"/>
          <scheme val="none"/>
        </font>
      </dxf>
    </rfmt>
    <rfmt sheetId="17" s="1" sqref="J32" start="0" length="0">
      <dxf>
        <font>
          <sz val="8"/>
          <color auto="1"/>
          <name val="Swis721CnEU"/>
          <scheme val="none"/>
        </font>
      </dxf>
    </rfmt>
    <rfmt sheetId="17" s="1" sqref="K32" start="0" length="0">
      <dxf>
        <font>
          <sz val="8"/>
          <color auto="1"/>
          <name val="Swis721CnEU"/>
          <scheme val="none"/>
        </font>
      </dxf>
    </rfmt>
    <rfmt sheetId="17" s="1" sqref="L32" start="0" length="0">
      <dxf>
        <font>
          <sz val="8"/>
          <color auto="1"/>
          <name val="Swis721CnEU"/>
          <scheme val="none"/>
        </font>
      </dxf>
    </rfmt>
    <rfmt sheetId="17" s="1" sqref="M32" start="0" length="0">
      <dxf>
        <font>
          <sz val="8"/>
          <color auto="1"/>
          <name val="Swis721CnEU"/>
          <scheme val="none"/>
        </font>
      </dxf>
    </rfmt>
    <rfmt sheetId="17" s="1" sqref="N32" start="0" length="0">
      <dxf>
        <font>
          <sz val="8"/>
          <color auto="1"/>
          <name val="Swis721CnEU"/>
          <scheme val="none"/>
        </font>
      </dxf>
    </rfmt>
    <rfmt sheetId="17" s="1" sqref="O32" start="0" length="0">
      <dxf>
        <font>
          <sz val="8"/>
          <color auto="1"/>
          <name val="Swis721CnEU"/>
          <scheme val="none"/>
        </font>
      </dxf>
    </rfmt>
    <rfmt sheetId="17" s="1" sqref="P32" start="0" length="0">
      <dxf>
        <font>
          <sz val="8"/>
          <color auto="1"/>
          <name val="Swis721CnEU"/>
          <scheme val="none"/>
        </font>
      </dxf>
    </rfmt>
    <rfmt sheetId="17" s="1" sqref="Q32" start="0" length="0">
      <dxf>
        <font>
          <sz val="8"/>
          <color auto="1"/>
          <name val="Swis721CnEU"/>
          <scheme val="none"/>
        </font>
      </dxf>
    </rfmt>
    <rfmt sheetId="17" s="1" sqref="R32" start="0" length="0">
      <dxf>
        <font>
          <sz val="8"/>
          <color auto="1"/>
          <name val="Swis721CnEU"/>
          <scheme val="none"/>
        </font>
      </dxf>
    </rfmt>
  </rrc>
  <rrc rId="1725"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B32" start="0" length="0">
      <dxf>
        <font>
          <sz val="8"/>
          <color auto="1"/>
          <name val="Swis721CnEU"/>
          <scheme val="none"/>
        </font>
      </dxf>
    </rfmt>
    <rfmt sheetId="17" s="1" sqref="C32" start="0" length="0">
      <dxf>
        <font>
          <sz val="8"/>
          <color auto="1"/>
          <name val="Swis721CnEU"/>
          <scheme val="none"/>
        </font>
      </dxf>
    </rfmt>
    <rfmt sheetId="17" s="1" sqref="D32" start="0" length="0">
      <dxf>
        <font>
          <sz val="8"/>
          <color auto="1"/>
          <name val="Swis721CnEU"/>
          <scheme val="none"/>
        </font>
      </dxf>
    </rfmt>
    <rfmt sheetId="17" s="1" sqref="E32" start="0" length="0">
      <dxf>
        <font>
          <sz val="8"/>
          <color auto="1"/>
          <name val="Swis721CnEU"/>
          <scheme val="none"/>
        </font>
      </dxf>
    </rfmt>
    <rfmt sheetId="17" s="1" sqref="F32" start="0" length="0">
      <dxf>
        <font>
          <sz val="8"/>
          <color auto="1"/>
          <name val="Swis721CnEU"/>
          <scheme val="none"/>
        </font>
      </dxf>
    </rfmt>
    <rfmt sheetId="17" s="1" sqref="G32" start="0" length="0">
      <dxf>
        <font>
          <sz val="8"/>
          <color auto="1"/>
          <name val="Swis721CnEU"/>
          <scheme val="none"/>
        </font>
      </dxf>
    </rfmt>
    <rfmt sheetId="17" s="1" sqref="H32" start="0" length="0">
      <dxf>
        <font>
          <sz val="8"/>
          <color auto="1"/>
          <name val="Swis721CnEU"/>
          <scheme val="none"/>
        </font>
      </dxf>
    </rfmt>
    <rfmt sheetId="17" s="1" sqref="I32" start="0" length="0">
      <dxf>
        <font>
          <sz val="8"/>
          <color auto="1"/>
          <name val="Swis721CnEU"/>
          <scheme val="none"/>
        </font>
      </dxf>
    </rfmt>
    <rfmt sheetId="17" s="1" sqref="J32" start="0" length="0">
      <dxf>
        <font>
          <sz val="8"/>
          <color auto="1"/>
          <name val="Swis721CnEU"/>
          <scheme val="none"/>
        </font>
      </dxf>
    </rfmt>
    <rfmt sheetId="17" s="1" sqref="K32" start="0" length="0">
      <dxf>
        <font>
          <sz val="8"/>
          <color auto="1"/>
          <name val="Swis721CnEU"/>
          <scheme val="none"/>
        </font>
      </dxf>
    </rfmt>
    <rfmt sheetId="17" s="1" sqref="L32" start="0" length="0">
      <dxf>
        <font>
          <sz val="8"/>
          <color auto="1"/>
          <name val="Swis721CnEU"/>
          <scheme val="none"/>
        </font>
      </dxf>
    </rfmt>
    <rfmt sheetId="17" s="1" sqref="M32" start="0" length="0">
      <dxf>
        <font>
          <sz val="8"/>
          <color auto="1"/>
          <name val="Swis721CnEU"/>
          <scheme val="none"/>
        </font>
      </dxf>
    </rfmt>
    <rfmt sheetId="17" s="1" sqref="N32" start="0" length="0">
      <dxf>
        <font>
          <sz val="8"/>
          <color auto="1"/>
          <name val="Swis721CnEU"/>
          <scheme val="none"/>
        </font>
      </dxf>
    </rfmt>
    <rfmt sheetId="17" s="1" sqref="O32" start="0" length="0">
      <dxf>
        <font>
          <sz val="8"/>
          <color auto="1"/>
          <name val="Swis721CnEU"/>
          <scheme val="none"/>
        </font>
      </dxf>
    </rfmt>
    <rfmt sheetId="17" s="1" sqref="P32" start="0" length="0">
      <dxf>
        <font>
          <sz val="8"/>
          <color auto="1"/>
          <name val="Swis721CnEU"/>
          <scheme val="none"/>
        </font>
      </dxf>
    </rfmt>
    <rfmt sheetId="17" s="1" sqref="Q32" start="0" length="0">
      <dxf>
        <font>
          <sz val="8"/>
          <color auto="1"/>
          <name val="Swis721CnEU"/>
          <scheme val="none"/>
        </font>
      </dxf>
    </rfmt>
    <rfmt sheetId="17" s="1" sqref="R32" start="0" length="0">
      <dxf>
        <font>
          <sz val="8"/>
          <color auto="1"/>
          <name val="Swis721CnEU"/>
          <scheme val="none"/>
        </font>
      </dxf>
    </rfmt>
  </rrc>
  <rrc rId="1726"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B32" start="0" length="0">
      <dxf>
        <font>
          <sz val="8"/>
          <color auto="1"/>
          <name val="Swis721CnEU"/>
          <scheme val="none"/>
        </font>
      </dxf>
    </rfmt>
    <rfmt sheetId="17" s="1" sqref="C32" start="0" length="0">
      <dxf>
        <font>
          <sz val="8"/>
          <color auto="1"/>
          <name val="Swis721CnEU"/>
          <scheme val="none"/>
        </font>
      </dxf>
    </rfmt>
    <rfmt sheetId="17" s="1" sqref="D32" start="0" length="0">
      <dxf>
        <font>
          <sz val="8"/>
          <color auto="1"/>
          <name val="Swis721CnEU"/>
          <scheme val="none"/>
        </font>
      </dxf>
    </rfmt>
    <rfmt sheetId="17" s="1" sqref="E32" start="0" length="0">
      <dxf>
        <font>
          <sz val="8"/>
          <color auto="1"/>
          <name val="Swis721CnEU"/>
          <scheme val="none"/>
        </font>
      </dxf>
    </rfmt>
    <rfmt sheetId="17" s="1" sqref="F32" start="0" length="0">
      <dxf>
        <font>
          <sz val="8"/>
          <color auto="1"/>
          <name val="Swis721CnEU"/>
          <scheme val="none"/>
        </font>
      </dxf>
    </rfmt>
    <rfmt sheetId="17" s="1" sqref="G32" start="0" length="0">
      <dxf>
        <font>
          <sz val="8"/>
          <color auto="1"/>
          <name val="Swis721CnEU"/>
          <scheme val="none"/>
        </font>
      </dxf>
    </rfmt>
    <rfmt sheetId="17" s="1" sqref="H32" start="0" length="0">
      <dxf>
        <font>
          <sz val="8"/>
          <color auto="1"/>
          <name val="Swis721CnEU"/>
          <scheme val="none"/>
        </font>
      </dxf>
    </rfmt>
    <rfmt sheetId="17" s="1" sqref="I32" start="0" length="0">
      <dxf>
        <font>
          <sz val="8"/>
          <color auto="1"/>
          <name val="Swis721CnEU"/>
          <scheme val="none"/>
        </font>
      </dxf>
    </rfmt>
    <rfmt sheetId="17" s="1" sqref="J32" start="0" length="0">
      <dxf>
        <font>
          <sz val="8"/>
          <color auto="1"/>
          <name val="Swis721CnEU"/>
          <scheme val="none"/>
        </font>
      </dxf>
    </rfmt>
    <rfmt sheetId="17" s="1" sqref="K32" start="0" length="0">
      <dxf>
        <font>
          <sz val="8"/>
          <color auto="1"/>
          <name val="Swis721CnEU"/>
          <scheme val="none"/>
        </font>
      </dxf>
    </rfmt>
    <rfmt sheetId="17" s="1" sqref="L32" start="0" length="0">
      <dxf>
        <font>
          <sz val="8"/>
          <color auto="1"/>
          <name val="Swis721CnEU"/>
          <scheme val="none"/>
        </font>
      </dxf>
    </rfmt>
    <rfmt sheetId="17" s="1" sqref="M32" start="0" length="0">
      <dxf>
        <font>
          <sz val="8"/>
          <color auto="1"/>
          <name val="Swis721CnEU"/>
          <scheme val="none"/>
        </font>
      </dxf>
    </rfmt>
    <rfmt sheetId="17" s="1" sqref="N32" start="0" length="0">
      <dxf>
        <font>
          <sz val="8"/>
          <color auto="1"/>
          <name val="Swis721CnEU"/>
          <scheme val="none"/>
        </font>
      </dxf>
    </rfmt>
    <rfmt sheetId="17" s="1" sqref="O32" start="0" length="0">
      <dxf>
        <font>
          <sz val="8"/>
          <color auto="1"/>
          <name val="Swis721CnEU"/>
          <scheme val="none"/>
        </font>
      </dxf>
    </rfmt>
    <rfmt sheetId="17" s="1" sqref="P32" start="0" length="0">
      <dxf>
        <font>
          <sz val="8"/>
          <color auto="1"/>
          <name val="Swis721CnEU"/>
          <scheme val="none"/>
        </font>
      </dxf>
    </rfmt>
    <rfmt sheetId="17" s="1" sqref="Q32" start="0" length="0">
      <dxf>
        <font>
          <sz val="8"/>
          <color auto="1"/>
          <name val="Swis721CnEU"/>
          <scheme val="none"/>
        </font>
      </dxf>
    </rfmt>
    <rfmt sheetId="17" s="1" sqref="R32" start="0" length="0">
      <dxf>
        <font>
          <sz val="8"/>
          <color auto="1"/>
          <name val="Swis721CnEU"/>
          <scheme val="none"/>
        </font>
      </dxf>
    </rfmt>
  </rrc>
  <rrc rId="1727" sId="17" ref="A32:XFD32" action="deleteRow">
    <rfmt sheetId="17" xfDxf="1" s="1" sqref="A32:XFD32"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17" s="1" sqref="B32" start="0" length="0">
      <dxf>
        <font>
          <sz val="8"/>
          <color auto="1"/>
          <name val="Swis721CnEU"/>
          <scheme val="none"/>
        </font>
      </dxf>
    </rfmt>
    <rfmt sheetId="17" s="1" sqref="C32" start="0" length="0">
      <dxf>
        <font>
          <sz val="8"/>
          <color auto="1"/>
          <name val="Swis721CnEU"/>
          <scheme val="none"/>
        </font>
      </dxf>
    </rfmt>
    <rfmt sheetId="17" s="1" sqref="D32" start="0" length="0">
      <dxf>
        <font>
          <sz val="8"/>
          <color auto="1"/>
          <name val="Swis721CnEU"/>
          <scheme val="none"/>
        </font>
      </dxf>
    </rfmt>
    <rfmt sheetId="17" s="1" sqref="E32" start="0" length="0">
      <dxf>
        <font>
          <sz val="8"/>
          <color auto="1"/>
          <name val="Swis721CnEU"/>
          <scheme val="none"/>
        </font>
      </dxf>
    </rfmt>
    <rfmt sheetId="17" s="1" sqref="F32" start="0" length="0">
      <dxf>
        <font>
          <sz val="8"/>
          <color auto="1"/>
          <name val="Swis721CnEU"/>
          <scheme val="none"/>
        </font>
      </dxf>
    </rfmt>
    <rfmt sheetId="17" s="1" sqref="G32" start="0" length="0">
      <dxf>
        <font>
          <sz val="8"/>
          <color auto="1"/>
          <name val="Swis721CnEU"/>
          <scheme val="none"/>
        </font>
      </dxf>
    </rfmt>
    <rfmt sheetId="17" s="1" sqref="H32" start="0" length="0">
      <dxf>
        <font>
          <sz val="8"/>
          <color auto="1"/>
          <name val="Swis721CnEU"/>
          <scheme val="none"/>
        </font>
      </dxf>
    </rfmt>
    <rfmt sheetId="17" s="1" sqref="I32" start="0" length="0">
      <dxf>
        <font>
          <sz val="8"/>
          <color auto="1"/>
          <name val="Swis721CnEU"/>
          <scheme val="none"/>
        </font>
      </dxf>
    </rfmt>
    <rfmt sheetId="17" s="1" sqref="J32" start="0" length="0">
      <dxf>
        <font>
          <sz val="8"/>
          <color auto="1"/>
          <name val="Swis721CnEU"/>
          <scheme val="none"/>
        </font>
      </dxf>
    </rfmt>
    <rfmt sheetId="17" s="1" sqref="K32" start="0" length="0">
      <dxf>
        <font>
          <sz val="8"/>
          <color auto="1"/>
          <name val="Swis721CnEU"/>
          <scheme val="none"/>
        </font>
      </dxf>
    </rfmt>
    <rfmt sheetId="17" s="1" sqref="L32" start="0" length="0">
      <dxf>
        <font>
          <sz val="8"/>
          <color auto="1"/>
          <name val="Swis721CnEU"/>
          <scheme val="none"/>
        </font>
      </dxf>
    </rfmt>
    <rfmt sheetId="17" s="1" sqref="M32" start="0" length="0">
      <dxf>
        <font>
          <sz val="8"/>
          <color auto="1"/>
          <name val="Swis721CnEU"/>
          <scheme val="none"/>
        </font>
      </dxf>
    </rfmt>
    <rfmt sheetId="17" s="1" sqref="N32" start="0" length="0">
      <dxf>
        <font>
          <sz val="8"/>
          <color auto="1"/>
          <name val="Swis721CnEU"/>
          <scheme val="none"/>
        </font>
      </dxf>
    </rfmt>
    <rfmt sheetId="17" s="1" sqref="O32" start="0" length="0">
      <dxf>
        <font>
          <sz val="8"/>
          <color auto="1"/>
          <name val="Swis721CnEU"/>
          <scheme val="none"/>
        </font>
      </dxf>
    </rfmt>
    <rfmt sheetId="17" s="1" sqref="P32" start="0" length="0">
      <dxf>
        <font>
          <sz val="8"/>
          <color auto="1"/>
          <name val="Swis721CnEU"/>
          <scheme val="none"/>
        </font>
      </dxf>
    </rfmt>
    <rfmt sheetId="17" s="1" sqref="Q32" start="0" length="0">
      <dxf>
        <font>
          <sz val="8"/>
          <color auto="1"/>
          <name val="Swis721CnEU"/>
          <scheme val="none"/>
        </font>
      </dxf>
    </rfmt>
    <rfmt sheetId="17" s="1" sqref="R32" start="0" length="0">
      <dxf>
        <font>
          <sz val="8"/>
          <color auto="1"/>
          <name val="Swis721CnEU"/>
          <scheme val="none"/>
        </font>
      </dxf>
    </rfmt>
  </rr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U1" start="0" length="0">
    <dxf>
      <font>
        <sz val="7"/>
        <color rgb="FFFF0000"/>
        <name val="Open Sans"/>
        <scheme val="none"/>
      </font>
      <numFmt numFmtId="168" formatCode="0.0%"/>
      <fill>
        <patternFill patternType="solid">
          <bgColor theme="0"/>
        </patternFill>
      </fill>
      <alignment horizontal="right" vertical="center" wrapText="1" readingOrder="0"/>
    </dxf>
  </rfmt>
  <rfmt sheetId="18" sqref="U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18" sqref="U3" start="0" length="0">
    <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dxf>
  </rfmt>
  <rfmt sheetId="18" sqref="U4" start="0" length="0">
    <dxf>
      <font>
        <sz val="7"/>
        <color auto="1"/>
        <name val="Open Sans"/>
        <scheme val="none"/>
      </font>
      <numFmt numFmtId="3" formatCode="#,##0"/>
      <alignment horizontal="right" vertical="center" wrapText="1" readingOrder="0"/>
    </dxf>
  </rfmt>
  <rfmt sheetId="18" sqref="U5" start="0" length="0">
    <dxf>
      <font>
        <sz val="7"/>
        <color auto="1"/>
        <name val="Open Sans"/>
        <scheme val="none"/>
      </font>
      <numFmt numFmtId="3" formatCode="#,##0"/>
      <alignment horizontal="right" vertical="center" wrapText="1" readingOrder="0"/>
    </dxf>
  </rfmt>
  <rfmt sheetId="18" sqref="U6" start="0" length="0">
    <dxf>
      <font>
        <sz val="7"/>
        <color auto="1"/>
        <name val="Open Sans"/>
        <scheme val="none"/>
      </font>
      <numFmt numFmtId="3" formatCode="#,##0"/>
      <alignment horizontal="right" vertical="center" wrapText="1" readingOrder="0"/>
    </dxf>
  </rfmt>
  <rfmt sheetId="18" sqref="U7" start="0" length="0">
    <dxf>
      <font>
        <sz val="7"/>
        <color auto="1"/>
        <name val="Open Sans"/>
        <scheme val="none"/>
      </font>
      <numFmt numFmtId="3" formatCode="#,##0"/>
      <alignment horizontal="right" vertical="center" wrapText="1" readingOrder="0"/>
      <border outline="0">
        <top style="thin">
          <color rgb="FFC00000"/>
        </top>
      </border>
    </dxf>
  </rfmt>
  <rfmt sheetId="18" sqref="U8" start="0" length="0">
    <dxf>
      <font>
        <sz val="7"/>
        <color auto="1"/>
        <name val="Open Sans"/>
        <scheme val="none"/>
      </font>
      <numFmt numFmtId="3" formatCode="#,##0"/>
      <alignment horizontal="right" vertical="center" wrapText="1" readingOrder="0"/>
      <border outline="0">
        <bottom style="thin">
          <color rgb="FFC00000"/>
        </bottom>
      </border>
    </dxf>
  </rfmt>
  <rfmt sheetId="18" sqref="U9" start="0" length="0">
    <dxf>
      <font>
        <sz val="7"/>
        <color auto="1"/>
        <name val="Open Sans"/>
        <scheme val="none"/>
      </font>
      <numFmt numFmtId="3" formatCode="#,##0"/>
      <alignment horizontal="right" vertical="center" wrapText="1" readingOrder="0"/>
    </dxf>
  </rfmt>
  <rfmt sheetId="18" sqref="U10" start="0" length="0">
    <dxf>
      <font>
        <sz val="7"/>
        <color auto="1"/>
        <name val="Open Sans"/>
        <scheme val="none"/>
      </font>
      <numFmt numFmtId="3" formatCode="#,##0"/>
      <alignment horizontal="right" vertical="center" wrapText="1" readingOrder="0"/>
      <border outline="0">
        <bottom style="thin">
          <color rgb="FFC00000"/>
        </bottom>
      </border>
    </dxf>
  </rfmt>
  <rfmt sheetId="18" sqref="U11" start="0" length="0">
    <dxf>
      <font>
        <sz val="7"/>
        <color auto="1"/>
        <name val="Open Sans"/>
        <scheme val="none"/>
      </font>
      <numFmt numFmtId="3" formatCode="#,##0"/>
      <alignment horizontal="right" vertical="center" wrapText="1" readingOrder="0"/>
    </dxf>
  </rfmt>
  <rfmt sheetId="18" sqref="U12" start="0" length="0">
    <dxf>
      <font>
        <sz val="7"/>
        <color auto="1"/>
        <name val="Open Sans"/>
        <scheme val="none"/>
      </font>
      <numFmt numFmtId="3" formatCode="#,##0"/>
      <alignment horizontal="right" vertical="center" wrapText="1" readingOrder="0"/>
    </dxf>
  </rfmt>
  <rfmt sheetId="18" sqref="U13" start="0" length="0">
    <dxf>
      <font>
        <sz val="7"/>
        <color auto="1"/>
        <name val="Open Sans"/>
        <scheme val="none"/>
      </font>
      <numFmt numFmtId="3" formatCode="#,##0"/>
      <alignment horizontal="right" vertical="center" wrapText="1" readingOrder="0"/>
    </dxf>
  </rfmt>
  <rfmt sheetId="18" sqref="U14" start="0" length="0">
    <dxf>
      <font>
        <sz val="7"/>
        <color auto="1"/>
        <name val="Open Sans"/>
        <scheme val="none"/>
      </font>
      <numFmt numFmtId="3" formatCode="#,##0"/>
      <alignment horizontal="right" vertical="center" wrapText="1" readingOrder="0"/>
      <border outline="0">
        <bottom style="thin">
          <color rgb="FFC00000"/>
        </bottom>
      </border>
    </dxf>
  </rfmt>
  <rfmt sheetId="18" sqref="U15" start="0" length="0">
    <dxf>
      <font>
        <sz val="7"/>
        <color auto="1"/>
        <name val="Open Sans"/>
        <scheme val="none"/>
      </font>
      <numFmt numFmtId="3" formatCode="#,##0"/>
      <alignment horizontal="right" vertical="center" wrapText="1" readingOrder="0"/>
      <border outline="0">
        <bottom style="thin">
          <color rgb="FFC00000"/>
        </bottom>
      </border>
    </dxf>
  </rfmt>
  <rfmt sheetId="18" sqref="U16" start="0" length="0">
    <dxf>
      <font>
        <b/>
        <sz val="7"/>
        <color rgb="FFC00000"/>
        <name val="Open Sans"/>
        <scheme val="none"/>
      </font>
      <numFmt numFmtId="19" formatCode="dd/mm/yyyy"/>
      <alignment horizontal="right" vertical="center" wrapText="1" readingOrder="0"/>
      <border outline="0">
        <bottom style="medium">
          <color rgb="FFCC0000"/>
        </bottom>
      </border>
    </dxf>
  </rfmt>
  <rfmt sheetId="18" sqref="U17" start="0" length="0">
    <dxf>
      <font>
        <sz val="7"/>
        <color auto="1"/>
        <name val="Open Sans"/>
        <scheme val="none"/>
      </font>
      <numFmt numFmtId="3" formatCode="#,##0"/>
      <alignment horizontal="right" vertical="center" wrapText="1" readingOrder="0"/>
      <border outline="0">
        <bottom style="thin">
          <color rgb="FFCC0000"/>
        </bottom>
      </border>
    </dxf>
  </rfmt>
  <rfmt sheetId="18" sqref="U18" start="0" length="0">
    <dxf>
      <font>
        <sz val="7"/>
        <color rgb="FFFF0000"/>
        <name val="Open Sans"/>
        <scheme val="none"/>
      </font>
      <numFmt numFmtId="3" formatCode="#,##0"/>
      <alignment horizontal="right" vertical="center" wrapText="1" readingOrder="0"/>
    </dxf>
  </rfmt>
  <rfmt sheetId="18" sqref="U22" start="0" length="0">
    <dxf>
      <font>
        <sz val="7"/>
        <name val="Open Sans"/>
        <scheme val="none"/>
      </font>
      <numFmt numFmtId="3" formatCode="#,##0"/>
    </dxf>
  </rfmt>
  <rfmt sheetId="18" sqref="U23" start="0" length="0">
    <dxf>
      <font>
        <sz val="7"/>
        <color auto="1"/>
        <name val="Open Sans"/>
        <scheme val="none"/>
      </font>
      <numFmt numFmtId="3" formatCode="#,##0"/>
      <alignment horizontal="right" vertical="center" wrapText="1" readingOrder="0"/>
    </dxf>
  </rfmt>
  <rcc rId="1728" sId="18" numFmtId="4">
    <nc r="U4">
      <v>6719</v>
    </nc>
  </rcc>
  <rcc rId="1729" sId="18" numFmtId="4">
    <nc r="U5">
      <v>2880</v>
    </nc>
  </rcc>
  <rcc rId="1730" sId="18" numFmtId="4">
    <nc r="U6">
      <v>1895</v>
    </nc>
  </rcc>
  <rcc rId="1731" sId="18" numFmtId="4">
    <nc r="U7">
      <v>4248</v>
    </nc>
  </rcc>
  <rcc rId="1732" sId="18" numFmtId="4">
    <nc r="U8">
      <v>1230</v>
    </nc>
  </rcc>
  <rcc rId="1733" sId="18" numFmtId="4">
    <nc r="U9">
      <v>7185</v>
    </nc>
  </rcc>
  <rcc rId="1734" sId="18" numFmtId="4">
    <nc r="U10">
      <v>4844</v>
    </nc>
  </rcc>
  <rcc rId="1735" sId="18" numFmtId="4">
    <nc r="U11">
      <v>566</v>
    </nc>
  </rcc>
  <rcc rId="1736" sId="18" numFmtId="4">
    <nc r="U12">
      <v>376</v>
    </nc>
  </rcc>
  <rcc rId="1737" sId="18" numFmtId="4">
    <nc r="U13">
      <v>12</v>
    </nc>
  </rcc>
  <rcc rId="1738" sId="18" numFmtId="4">
    <nc r="U14">
      <v>1674</v>
    </nc>
  </rcc>
  <rcc rId="1739" sId="18" numFmtId="4">
    <nc r="U15">
      <v>12788</v>
    </nc>
  </rcc>
  <rcc rId="1740" sId="18" numFmtId="19">
    <nc r="U16">
      <v>44012</v>
    </nc>
  </rcc>
  <rcc rId="1741" sId="18" numFmtId="4">
    <nc r="U17">
      <v>14535650</v>
    </nc>
  </rcc>
  <rcc rId="1742" sId="18" numFmtId="19">
    <nc r="U3">
      <v>44104</v>
    </nc>
  </rcc>
  <rfmt sheetId="18" sqref="G13:Q13">
    <dxf>
      <fill>
        <patternFill patternType="solid">
          <bgColor theme="0" tint="-4.9989318521683403E-2"/>
        </patternFill>
      </fill>
    </dxf>
  </rfmt>
  <rcc rId="1743" sId="18">
    <oc r="C19" t="inlineStr">
      <is>
        <t xml:space="preserve">Zarejestrowani klienci bankowości internetowej i mobilnej Santander Bank Polska S.A. </t>
      </is>
    </oc>
    <nc r="C19" t="inlineStr">
      <is>
        <t xml:space="preserve">Zarejestrowani klienci bankowości internetowej i mobilnej Santander Bank Polska S.A. 
Od III kw. 2020 r. prezentowane dane uwzględniają także klientów Santander Consumer Bank S.A., którzy podpisali umowę o dostęp do usług bankowości elektronicznej. </t>
      </is>
    </nc>
  </rcc>
  <rcc rId="1744" sId="18">
    <oc r="C20" t="inlineStr">
      <is>
        <t xml:space="preserve">Aktywni klienci bankowości elektronicznej Santander Bank Polska S.A., którzy w ostatnim miesiącu okresu sprawozdawczego przynajmniej raz zalogowali się do serwisu internetowego lub mobilnego. </t>
      </is>
    </oc>
    <nc r="C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nc>
  </rcc>
  <rcc rId="1745" sId="18">
    <oc r="D19" t="inlineStr">
      <is>
        <t xml:space="preserve">Registered customers of internet and mobile banking services of Santander Bank Polska S.A. </t>
      </is>
    </oc>
    <nc r="D19" t="inlineStr">
      <is>
        <t>Registered customers of internet and mobile banking services of Santander Bank Polska S.A. 
Starting from Q3 2020, the stated data include customers of Santander Consumer Bank S.A. who signed electronic banking services agreements.</t>
      </is>
    </nc>
  </rcc>
  <rcc rId="1746" sId="18">
    <oc r="D20" t="inlineStr">
      <is>
        <t>Active customers of electronic banking services of Santander Bank Polska S.A. who at least once used the service in the last month of the current reporting period.</t>
      </is>
    </oc>
    <nc r="D20" t="inlineStr">
      <is>
        <t xml:space="preserve">Active customers of electronic banking services of Santander Bank Polska S.A. who at least once used the internet banking or mobile service in the last month of the current reporting period or checked their account balance without logging in.
From Q3 2020 the stated data include customers of Santander Consumer Bank S.A. who meet the relevant criteria. </t>
      </is>
    </nc>
  </rcc>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9" sId="18">
    <oc r="D20" t="inlineStr">
      <is>
        <t xml:space="preserve">Active customers of electronic banking services of Santander Bank Polska S.A. who at least once used the internet banking or mobile service in the last month of the current reporting period or checked their account balance without logging in.
From Q3 2020 the stated data include customers of Santander Consumer Bank S.A. who meet the relevant criteria. </t>
      </is>
    </oc>
    <nc r="D20" t="inlineStr">
      <is>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is>
    </nc>
  </rcc>
  <rcc rId="1750" sId="18">
    <oc r="D21" t="inlineStr">
      <is>
        <t xml:space="preserve">Small acquisition stands are reported separately, starting from end-2019 </t>
      </is>
    </oc>
    <nc r="D21" t="inlineStr">
      <is>
        <t xml:space="preserve">Small acquisition units are reported separately, starting from end-2019 </t>
      </is>
    </nc>
  </rcc>
  <rcc rId="1751" sId="18">
    <oc r="D19" t="inlineStr">
      <is>
        <t>Registered customers of internet and mobile banking services of Santander Bank Polska S.A. 
Starting from Q3 2020, the stated data include customers of Santander Consumer Bank S.A. who signed electronic banking services agreements.</t>
      </is>
    </oc>
    <nc r="D19" t="inlineStr">
      <is>
        <t>Registered customers of internet and mobile banking services of Santander Bank Polska S.A. 
Starting from Q3 2020, the stated data include customers of Santander Consumer Bank S.A. who signed an electronic banking services agreements.</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J2">
    <dxf>
      <fill>
        <patternFill patternType="none">
          <bgColor auto="1"/>
        </patternFill>
      </fill>
    </dxf>
  </rfmt>
  <rcc rId="1752" sId="17">
    <oc r="B19" t="inlineStr">
      <is>
        <t xml:space="preserve">Należności brutto od klientów zakwalifikowane do koszyka 3 i ekspozycji POCI przez wyceniany w zamortyzowanym koszcie portfel należności brutto od klientów na koniec okresu sprawozdawczego ( kalkulacja obowiązująca   od I kw. 2018 r.). </t>
      </is>
    </oc>
    <n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3" sId="18">
    <oc r="C2" t="inlineStr">
      <is>
        <t xml:space="preserve">Podstawowe dane niefinansowe Grupy Santander Bank Polska S.A. za pięć ostatnich lat </t>
      </is>
    </oc>
    <nc r="C2" t="inlineStr">
      <is>
        <t xml:space="preserve">Podstawowe dane niefinansowe Grupy Santander Bank Polska S.A. </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2F8D032-8143-430B-8DFF-852E8796C402}" action="delete"/>
  <rdn rId="0" localSheetId="2" customView="1" name="Z_12F8D032_8143_430B_8DFF_852E8796C402_.wvu.PrintArea" hidden="1" oldHidden="1">
    <formula>BS!$A$1:$P$50</formula>
    <oldFormula>BS!$A$1:$P$50</oldFormula>
  </rdn>
  <rdn rId="0" localSheetId="13"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6" sId="1" numFmtId="34">
    <oc r="Q2">
      <f>Q3+Q4+Q5</f>
    </oc>
    <nc r="Q2">
      <v>1548842</v>
    </nc>
  </rcc>
  <rcc rId="1757" sId="1" numFmtId="34">
    <oc r="R2">
      <f>P2-Q2</f>
    </oc>
    <nc r="R2">
      <v>209398</v>
    </nc>
  </rcc>
  <rcc rId="1758" sId="1" numFmtId="34">
    <oc r="R3">
      <f>P3-Q3</f>
    </oc>
    <nc r="R3">
      <v>212039</v>
    </nc>
  </rcc>
  <rcc rId="1759" sId="1" numFmtId="34">
    <oc r="R4">
      <f>P4-Q4</f>
    </oc>
    <nc r="R4">
      <v>-10316</v>
    </nc>
  </rcc>
  <rcc rId="1760" sId="1" numFmtId="34">
    <oc r="R5">
      <f>P5-Q5</f>
    </oc>
    <nc r="R5">
      <v>7675</v>
    </nc>
  </rcc>
  <rcc rId="1761" sId="1" numFmtId="34">
    <oc r="R6">
      <f>P6-Q6</f>
    </oc>
    <nc r="R6">
      <v>-133645</v>
    </nc>
  </rcc>
  <rcc rId="1762" sId="1" numFmtId="34">
    <oc r="C7">
      <f>C2+C6</f>
    </oc>
    <nc r="C7">
      <v>1253996</v>
    </nc>
  </rcc>
  <rcc rId="1763" sId="1" numFmtId="34">
    <oc r="D7">
      <f>D2+D6</f>
    </oc>
    <nc r="D7">
      <v>1302487</v>
    </nc>
  </rcc>
  <rcc rId="1764" sId="1" numFmtId="34">
    <oc r="E7">
      <f>E2+E6</f>
    </oc>
    <nc r="E7">
      <v>1340966</v>
    </nc>
  </rcc>
  <rcc rId="1765" sId="1" numFmtId="34">
    <oc r="F7">
      <f>F2+F6</f>
    </oc>
    <nc r="F7">
      <v>1379448</v>
    </nc>
  </rcc>
  <rcc rId="1766" sId="1" numFmtId="34">
    <oc r="Q7">
      <f>Q2+Q6</f>
    </oc>
    <nc r="Q7">
      <v>1382682</v>
    </nc>
  </rcc>
  <rcc rId="1767" sId="1" numFmtId="34">
    <oc r="R7">
      <f>P7-Q7</f>
    </oc>
    <nc r="R7">
      <v>75753</v>
    </nc>
  </rcc>
  <rcc rId="1768" sId="1" numFmtId="34">
    <oc r="R8">
      <f>P8-Q8</f>
    </oc>
    <nc r="R8">
      <v>-65119</v>
    </nc>
  </rcc>
  <rcc rId="1769" sId="1" numFmtId="34">
    <oc r="R9">
      <f>P9-Q9</f>
    </oc>
    <nc r="R9">
      <v>4220</v>
    </nc>
  </rcc>
  <rcc rId="1770" sId="1" numFmtId="34">
    <oc r="C10">
      <f>C8+C9</f>
    </oc>
    <nc r="C10">
      <v>475193</v>
    </nc>
  </rcc>
  <rcc rId="1771" sId="1" numFmtId="34">
    <oc r="D10">
      <f>D8+D9</f>
    </oc>
    <nc r="D10">
      <v>495642</v>
    </nc>
  </rcc>
  <rcc rId="1772" sId="1" numFmtId="34">
    <oc r="E10">
      <f>E8+E9</f>
    </oc>
    <nc r="E10">
      <v>526905</v>
    </nc>
  </rcc>
  <rcc rId="1773" sId="1" numFmtId="34">
    <oc r="Q10">
      <f>Q8+Q9</f>
    </oc>
    <nc r="Q10">
      <v>552730</v>
    </nc>
  </rcc>
  <rcc rId="1774" sId="1" numFmtId="34">
    <oc r="R10">
      <f>P10-Q10</f>
    </oc>
    <nc r="R10">
      <v>-60899</v>
    </nc>
  </rcc>
  <rcc rId="1775" sId="1" numFmtId="34">
    <oc r="R11">
      <f>P11-Q11</f>
    </oc>
    <nc r="R11">
      <v>18497</v>
    </nc>
  </rcc>
  <rcc rId="1776" sId="1" numFmtId="34">
    <oc r="R12">
      <f>P12-Q12</f>
    </oc>
    <nc r="R12">
      <v>30291</v>
    </nc>
  </rcc>
  <rcc rId="1777" sId="1" numFmtId="34">
    <oc r="R13">
      <f>P13-Q13</f>
    </oc>
    <nc r="R13">
      <v>-101046</v>
    </nc>
  </rcc>
  <rcc rId="1778" sId="1" numFmtId="34">
    <oc r="R14">
      <f>P14-Q14</f>
    </oc>
    <nc r="R14">
      <v>0</v>
    </nc>
  </rcc>
  <rcc rId="1779" sId="1" numFmtId="34">
    <oc r="N15">
      <f>79259-9427</f>
    </oc>
    <nc r="N15">
      <v>69832</v>
    </nc>
  </rcc>
  <rcc rId="1780" sId="1" numFmtId="34">
    <oc r="R15">
      <f>P15-Q15</f>
    </oc>
    <nc r="R15">
      <v>-15049</v>
    </nc>
  </rcc>
  <rcc rId="1781" sId="1" numFmtId="34">
    <oc r="R16">
      <f>P16-Q16</f>
    </oc>
    <nc r="R16">
      <v>0</v>
    </nc>
  </rcc>
  <rcc rId="1782" sId="1" numFmtId="34">
    <oc r="R17">
      <f>P17-Q17</f>
    </oc>
    <nc r="R17">
      <v>-122021</v>
    </nc>
  </rcc>
  <rcc rId="1783" sId="1" numFmtId="34">
    <oc r="C18">
      <f>SUM(C19:C22)</f>
    </oc>
    <nc r="C18">
      <v>-865972</v>
    </nc>
  </rcc>
  <rcc rId="1784" sId="1" numFmtId="34">
    <oc r="D18">
      <f>SUM(D19:D22)</f>
    </oc>
    <nc r="D18">
      <v>-828582</v>
    </nc>
  </rcc>
  <rcc rId="1785" sId="1" numFmtId="34">
    <oc r="N18">
      <f>N19+N20+N21+N22</f>
    </oc>
    <nc r="N18">
      <v>-1231429</v>
    </nc>
  </rcc>
  <rcc rId="1786" sId="1" numFmtId="34">
    <oc r="Q18">
      <f>Q19+Q20+Q21+Q22</f>
    </oc>
    <nc r="Q18">
      <v>-929893</v>
    </nc>
  </rcc>
  <rcc rId="1787" sId="1" numFmtId="34">
    <oc r="R18">
      <f>P18-Q18</f>
    </oc>
    <nc r="R18">
      <v>-33889</v>
    </nc>
  </rcc>
  <rcc rId="1788" sId="1" numFmtId="34">
    <oc r="R19">
      <f>P19-Q19</f>
    </oc>
    <nc r="R19">
      <v>62196</v>
    </nc>
  </rcc>
  <rcc rId="1789" sId="1" numFmtId="34">
    <oc r="R20">
      <f>P20-Q20</f>
    </oc>
    <nc r="R20">
      <v>2555</v>
    </nc>
  </rcc>
  <rcc rId="1790" sId="1" numFmtId="34">
    <oc r="R21">
      <f>P21-Q21</f>
    </oc>
    <nc r="R21">
      <v>-3032</v>
    </nc>
  </rcc>
  <rcc rId="1791" sId="1" numFmtId="34">
    <oc r="N22">
      <f>-303639</f>
    </oc>
    <nc r="N22">
      <v>-303639</v>
    </nc>
  </rcc>
  <rcc rId="1792" sId="1" numFmtId="34">
    <oc r="R22">
      <f>P22-Q22</f>
    </oc>
    <nc r="R22">
      <v>-95608</v>
    </nc>
  </rcc>
  <rcc rId="1793" sId="1" numFmtId="34">
    <oc r="R23">
      <f>P23-Q23</f>
    </oc>
    <nc r="R23">
      <v>-11480</v>
    </nc>
  </rcc>
  <rcc rId="1794" sId="1" numFmtId="34">
    <oc r="R24">
      <f>P24-Q24</f>
    </oc>
    <nc r="R24">
      <v>-4664</v>
    </nc>
  </rcc>
  <rcc rId="1795" sId="1" numFmtId="34">
    <oc r="C25">
      <f>SUM(C7+C10+C11+C12+C13+C15+C17+C18+C14+C16,C23,C24)</f>
    </oc>
    <nc r="C25">
      <v>739445</v>
    </nc>
  </rcc>
  <rcc rId="1796" sId="1" numFmtId="34">
    <oc r="D25">
      <f>SUM(D7+D10+D11+D12+D13+D15+D17+D18+D14+D16,D23,D24)</f>
    </oc>
    <nc r="D25">
      <v>930799</v>
    </nc>
  </rcc>
  <rcc rId="1797" sId="1" numFmtId="34">
    <oc r="E25">
      <f>SUM(E7+E10+E11+E12+E13+E15+E17+E18+E14+E16,E23,E24)</f>
    </oc>
    <nc r="E25">
      <v>817797</v>
    </nc>
  </rcc>
  <rcc rId="1798" sId="1" numFmtId="34">
    <oc r="F25">
      <f>SUM(F7+F10+F11+F12+F13+F15+F17+F18+F14+F16,F23,F24)</f>
    </oc>
    <nc r="F25">
      <v>833439</v>
    </nc>
  </rcc>
  <rcc rId="1799" sId="1" numFmtId="34">
    <oc r="L25">
      <f>L7+L10+L11+L12+L13+L15+L17+L18+L23+L24</f>
    </oc>
    <nc r="L25">
      <v>876914</v>
    </nc>
  </rcc>
  <rcc rId="1800" sId="1" numFmtId="34">
    <oc r="M25">
      <f>M7+M10+M11+M12+M13+M15+M17+M18+M23+M24</f>
    </oc>
    <nc r="M25">
      <v>1006936</v>
    </nc>
  </rcc>
  <rcc rId="1801" sId="1" numFmtId="34">
    <oc r="N25">
      <f>N7+N10+N11+N12+N13+N15+N17+N18+N23+N24</f>
    </oc>
    <nc r="N25">
      <v>756556</v>
    </nc>
  </rcc>
  <rcc rId="1802" sId="1" numFmtId="34">
    <oc r="O25">
      <f>O7+O10+O11+O12+O13+O15+O17+O18+O23+O24</f>
    </oc>
    <nc r="O25">
      <v>384954</v>
    </nc>
  </rcc>
  <rcc rId="1803" sId="1" numFmtId="34">
    <oc r="P25">
      <f>P7+P10+P11+P12+P13+P15+P17+P18+P23+P24</f>
    </oc>
    <nc r="P25">
      <v>504920</v>
    </nc>
  </rcc>
  <rcc rId="1804" sId="1" numFmtId="34">
    <oc r="Q25">
      <f>Q7+Q10+Q11+Q12+Q13+Q15+Q17+Q18+Q23+Q24</f>
    </oc>
    <nc r="Q25">
      <v>729427</v>
    </nc>
  </rcc>
  <rcc rId="1805" sId="1" numFmtId="34">
    <oc r="R25">
      <f>P25-Q25</f>
    </oc>
    <nc r="R25">
      <v>-224507</v>
    </nc>
  </rcc>
  <rcc rId="1806" sId="1" numFmtId="34">
    <oc r="R26">
      <f>P26-Q26</f>
    </oc>
    <nc r="R26">
      <v>31680</v>
    </nc>
  </rcc>
  <rcc rId="1807" sId="1" numFmtId="34">
    <oc r="C27">
      <f>C25+C26</f>
    </oc>
    <nc r="C27">
      <v>526633</v>
    </nc>
  </rcc>
  <rcc rId="1808" sId="1" numFmtId="34">
    <oc r="D27">
      <f>D25+D26</f>
    </oc>
    <nc r="D27">
      <v>731062</v>
    </nc>
  </rcc>
  <rcc rId="1809" sId="1" numFmtId="34">
    <oc r="E27">
      <f>E25+E26</f>
    </oc>
    <nc r="E27">
      <v>629187</v>
    </nc>
  </rcc>
  <rcc rId="1810" sId="1" numFmtId="34">
    <oc r="F27">
      <f>F25+F26</f>
    </oc>
    <nc r="F27">
      <v>617891</v>
    </nc>
  </rcc>
  <rcc rId="1811" sId="1" numFmtId="34">
    <oc r="Q27">
      <f>Q25+Q26</f>
    </oc>
    <nc r="Q27">
      <v>539968</v>
    </nc>
  </rcc>
  <rcc rId="1812" sId="1" numFmtId="34">
    <oc r="R27">
      <f>P27-Q27</f>
    </oc>
    <nc r="R27">
      <v>-192827</v>
    </nc>
  </rcc>
  <rcc rId="1813" sId="1" numFmtId="34">
    <oc r="R28">
      <f>P28-Q28</f>
    </oc>
    <nc r="R28">
      <v>0</v>
    </nc>
  </rcc>
  <rcc rId="1814" sId="1" numFmtId="34">
    <oc r="C29">
      <f>C27-C30</f>
    </oc>
    <nc r="C29">
      <v>452461</v>
    </nc>
  </rcc>
  <rcc rId="1815" sId="1" numFmtId="34">
    <oc r="D29">
      <f>D27-D30</f>
    </oc>
    <nc r="D29">
      <v>647914</v>
    </nc>
  </rcc>
  <rcc rId="1816" sId="1" numFmtId="34">
    <oc r="E29">
      <f>E27-E30</f>
    </oc>
    <nc r="E29">
      <v>556427</v>
    </nc>
  </rcc>
  <rcc rId="1817" sId="1" numFmtId="34">
    <oc r="F29">
      <f>F27-F30</f>
    </oc>
    <nc r="F29">
      <v>542511</v>
    </nc>
  </rcc>
  <rcc rId="1818" sId="1" numFmtId="34">
    <oc r="R29">
      <f>P29-Q29</f>
    </oc>
    <nc r="R29">
      <v>-174981</v>
    </nc>
  </rcc>
  <rcc rId="1819" sId="1" numFmtId="34">
    <oc r="R30">
      <f>P30-Q30</f>
    </oc>
    <nc r="R30">
      <v>-17846</v>
    </nc>
  </rcc>
  <rcc rId="1820" sId="1" numFmtId="4">
    <nc r="K32">
      <v>604190</v>
    </nc>
  </rcc>
  <rcc rId="1821" sId="1" numFmtId="4">
    <nc r="L32">
      <v>876914</v>
    </nc>
  </rcc>
  <rcc rId="1822" sId="1" numFmtId="4">
    <nc r="M32">
      <v>1006936</v>
    </nc>
  </rcc>
  <rcc rId="1823" sId="1" numFmtId="4">
    <nc r="N32">
      <v>756556</v>
    </nc>
  </rcc>
  <rcc rId="1824" sId="1" numFmtId="4">
    <nc r="O32">
      <v>384954</v>
    </nc>
  </rcc>
  <rcc rId="1825" sId="1" numFmtId="4">
    <nc r="P32">
      <v>504920</v>
    </nc>
  </rcc>
  <rcc rId="1826" sId="1" numFmtId="4">
    <nc r="Q32">
      <v>729427</v>
    </nc>
  </rcc>
  <rcc rId="1827" sId="1" odxf="1" dxf="1">
    <oc r="K32">
      <v>604190</v>
    </oc>
    <nc r="K32"/>
    <ndxf>
      <numFmt numFmtId="0" formatCode="General"/>
    </ndxf>
  </rcc>
  <rcc rId="1828" sId="1" odxf="1" dxf="1">
    <oc r="L32">
      <v>876914</v>
    </oc>
    <nc r="L32"/>
    <ndxf>
      <numFmt numFmtId="0" formatCode="General"/>
    </ndxf>
  </rcc>
  <rcc rId="1829" sId="1" odxf="1" dxf="1">
    <oc r="M32">
      <v>1006936</v>
    </oc>
    <nc r="M32"/>
    <ndxf>
      <numFmt numFmtId="0" formatCode="General"/>
    </ndxf>
  </rcc>
  <rcc rId="1830" sId="1" odxf="1" dxf="1">
    <oc r="N32">
      <v>756556</v>
    </oc>
    <nc r="N32"/>
    <ndxf>
      <numFmt numFmtId="0" formatCode="General"/>
    </ndxf>
  </rcc>
  <rcc rId="1831" sId="1" odxf="1" dxf="1">
    <oc r="O32">
      <v>384954</v>
    </oc>
    <nc r="O32"/>
    <ndxf>
      <numFmt numFmtId="0" formatCode="General"/>
    </ndxf>
  </rcc>
  <rcc rId="1832" sId="1" odxf="1" dxf="1">
    <oc r="P32">
      <v>504920</v>
    </oc>
    <nc r="P32"/>
    <ndxf>
      <numFmt numFmtId="0" formatCode="General"/>
    </ndxf>
  </rcc>
  <rcc rId="1833" sId="1" odxf="1" dxf="1">
    <oc r="Q32">
      <v>729427</v>
    </oc>
    <nc r="Q32"/>
    <ndxf>
      <numFmt numFmtId="0" formatCode="General"/>
    </ndxf>
  </rcc>
  <rdn rId="0" localSheetId="2" customView="1" name="Z_746490BF_9C44_4B41_8803_BEC9E453576A_.wvu.PrintArea" hidden="1" oldHidden="1">
    <formula>BS!$A$1:$P$50</formula>
  </rdn>
  <rdn rId="0" localSheetId="13" customView="1" name="Z_746490BF_9C44_4B41_8803_BEC9E453576A_.wvu.Cols" hidden="1" oldHidden="1">
    <formula>'Aktywa i zobow. fin. do obrotu'!$M:$P</formula>
  </rdn>
  <rcv guid="{746490BF-9C44-4B41-8803-BEC9E453576A}"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46490BF-9C44-4B41-8803-BEC9E453576A}" action="delete"/>
  <rdn rId="0" localSheetId="2" customView="1" name="Z_746490BF_9C44_4B41_8803_BEC9E453576A_.wvu.PrintArea" hidden="1" oldHidden="1">
    <formula>BS!$A$1:$P$50</formula>
    <oldFormula>BS!$A$1:$P$50</oldFormula>
  </rdn>
  <rdn rId="0" localSheetId="13" customView="1" name="Z_746490BF_9C44_4B41_8803_BEC9E453576A_.wvu.Cols" hidden="1" oldHidden="1">
    <formula>'Aktywa i zobow. fin. do obrotu'!$M:$P</formula>
    <oldFormula>'Aktywa i zobow. fin. do obrotu'!$M:$P</oldFormula>
  </rdn>
  <rcv guid="{746490BF-9C44-4B41-8803-BEC9E453576A}"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9AF4A83C_CF57_4B40_8A74_6A0EA6C2FE5C_.wvu.Cols" hidden="1" oldHidden="1">
    <oldFormula>'P&amp;L'!$B:$O</oldFormula>
  </rdn>
  <rcv guid="{9AF4A83C-CF57-4B40-8A74-6A0EA6C2FE5C}" action="delete"/>
  <rdn rId="0" localSheetId="2" customView="1" name="Z_9AF4A83C_CF57_4B40_8A74_6A0EA6C2FE5C_.wvu.PrintArea" hidden="1" oldHidden="1">
    <formula>BS!$A$1:$P$50</formula>
    <oldFormula>BS!$A$1:$P$50</oldFormula>
  </rdn>
  <rdn rId="0" localSheetId="2" customView="1" name="Z_9AF4A83C_CF57_4B40_8A74_6A0EA6C2FE5C_.wvu.Cols" hidden="1" oldHidden="1">
    <formula>BS!$D:$O</formula>
    <oldFormula>BS!$D:$O</oldFormula>
  </rdn>
  <rdn rId="0" localSheetId="6" customView="1" name="Z_9AF4A83C_CF57_4B40_8A74_6A0EA6C2FE5C_.wvu.Cols" hidden="1" oldHidden="1">
    <formula>'Wynik handlowy'!$C:$F</formula>
    <oldFormula>'Wynik handlowy'!$C:$F</oldFormula>
  </rdn>
  <rdn rId="0" localSheetId="7" customView="1" name="Z_9AF4A83C_CF57_4B40_8A74_6A0EA6C2FE5C_.wvu.Cols" hidden="1" oldHidden="1">
    <formula>'Wynik inwestycyjny'!$C:$N</formula>
    <oldFormula>'Wynik inwestycyjny'!$C:$N</oldFormula>
  </rdn>
  <rdn rId="0" localSheetId="9" customView="1" name="Z_9AF4A83C_CF57_4B40_8A74_6A0EA6C2FE5C_.wvu.Cols" hidden="1" oldHidden="1">
    <formula>'Inwestycyjne aktywa finansowe'!$C:$O</formula>
    <oldFormula>'Inwestycyjne aktywa finansowe'!$C:$O</oldFormula>
  </rdn>
  <rdn rId="0" localSheetId="13" customView="1" name="Z_9AF4A83C_CF57_4B40_8A74_6A0EA6C2FE5C_.wvu.Cols" hidden="1" oldHidden="1">
    <formula>'Aktywa i zobow. fin. do obrotu'!$D:$N,'Aktywa i zobow. fin. do obrotu'!$P:$P</formula>
    <oldFormula>'Aktywa i zobow. fin. do obrotu'!$D:$N,'Aktywa i zobow. fin. do obrotu'!$P:$P</oldFormula>
  </rdn>
  <rcv guid="{9AF4A83C-CF57-4B40-8A74-6A0EA6C2FE5C}"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1" sqref="Q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cc rId="719" sId="3" odxf="1" dxf="1">
    <nc r="Q2">
      <f>SUM(Q3:Q4,Q6,Q7:Q10)</f>
    </nc>
    <ndxf>
      <numFmt numFmtId="3" formatCode="#,##0"/>
    </ndxf>
  </rcc>
  <rcc rId="720" sId="3" odxf="1" dxf="1">
    <nc r="Q3">
      <f>Q12+Q20+Q23</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1" sId="3" odxf="1" dxf="1">
    <nc r="Q4">
      <f>Q13+Q24</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2" sId="3" odxf="1" dxf="1">
    <nc r="Q5">
      <f>Q14+Q25</f>
    </nc>
    <ndxf>
      <font>
        <i val="0"/>
        <sz val="9"/>
        <name val="Open Sans"/>
        <scheme val="none"/>
      </font>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3" sId="3" odxf="1" dxf="1">
    <nc r="Q6">
      <f>Q21+Q26</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4" sId="3" odxf="1" dxf="1">
    <nc r="Q7">
      <f>Q15</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5" sId="3" odxf="1" dxf="1">
    <nc r="Q8">
      <f>Q16</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6" sId="3" odxf="1" dxf="1">
    <nc r="Q9">
      <f>Q17</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7" sId="3" odxf="1" dxf="1">
    <nc r="Q10">
      <f>Q18</f>
    </nc>
    <ndxf>
      <numFmt numFmtId="165" formatCode="_(* #\ ###\ ##0_);_(* \(#\ ###\ ##0\);_(* &quot;-&quot;_);_(@_)"/>
      <alignment horizontal="right" vertical="top" indent="1" readingOrder="0"/>
      <border outline="0">
        <left style="thin">
          <color indexed="9"/>
        </left>
        <right style="thin">
          <color indexed="9"/>
        </right>
        <top style="dotted">
          <color rgb="FF6F7779"/>
        </top>
        <bottom style="dotted">
          <color rgb="FF6F7779"/>
        </bottom>
      </border>
    </ndxf>
  </rcc>
  <rcc rId="728" sId="3">
    <oc r="Q11">
      <f>SUM(Q12:Q13,Q15,Q16:Q18)</f>
    </oc>
    <nc r="Q11">
      <f>SUM(Q12:Q13,Q15,Q16:Q18)</f>
    </nc>
  </rcc>
  <rfmt sheetId="3" s="1" sqref="Q12"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3"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4" start="0" length="0">
    <dxf>
      <font>
        <i val="0"/>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5"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6"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7"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1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729" sId="3" odxf="1" s="1" dxf="1">
    <nc r="Q19">
      <f>SUM(Q20:Q21)</f>
    </nc>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Q20"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21"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730" sId="3" odxf="1" s="1" dxf="1">
    <nc r="Q22">
      <f>SUM(Q23:Q24,Q26)</f>
    </nc>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Q23"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24"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25"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26"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731" sId="3" odxf="1" s="1" dxf="1">
    <nc r="Q27">
      <f>SUM(Q28:Q34)</f>
    </nc>
    <n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ndxf>
  </rcc>
  <rfmt sheetId="3" s="1" sqref="Q28"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29"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30"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31"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32"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33"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Q34" start="0" length="0">
    <dxf>
      <font>
        <sz val="9"/>
        <color auto="1"/>
        <name val="Open Sans"/>
        <scheme val="none"/>
      </font>
      <numFmt numFmtId="165" formatCode="_(* #\ ###\ ##0_);_(* \(#\ ###\ ##0\);_(* &quot;-&quot;_);_(@_)"/>
      <alignment horizontal="right" indent="1" readingOrder="0"/>
      <border outline="0">
        <left style="thin">
          <color indexed="9"/>
        </left>
        <right style="thin">
          <color indexed="9"/>
        </right>
        <top style="dotted">
          <color rgb="FF6F7779"/>
        </top>
        <bottom style="dotted">
          <color rgb="FF6F7779"/>
        </bottom>
      </border>
    </dxf>
  </rfmt>
  <rcc rId="732" sId="3" odxf="1" dxf="1">
    <nc r="Q35">
      <f>Q2+Q27</f>
    </nc>
    <ndxf>
      <font>
        <sz val="9"/>
        <color rgb="FFEC0000"/>
        <name val="Open Sans"/>
        <scheme val="none"/>
      </font>
      <numFmt numFmtId="165" formatCode="_(* #\ ###\ ##0_);_(* \(#\ ###\ ##0\);_(* &quot;-&quot;_);_(@_)"/>
      <alignment horizontal="right" vertical="top" readingOrder="0"/>
      <border outline="0">
        <top style="thin">
          <color rgb="FFEC0000"/>
        </top>
        <bottom style="thin">
          <color rgb="FFEC0000"/>
        </bottom>
      </border>
    </ndxf>
  </rcc>
  <rcc rId="733" sId="3">
    <nc r="Q1" t="inlineStr">
      <is>
        <t>III Q 2020</t>
      </is>
    </nc>
  </rcc>
  <rcc rId="734" sId="3">
    <nc r="R12">
      <f>1347839.6131+239007</f>
    </nc>
  </rcc>
  <rcc rId="735" sId="3">
    <nc r="R13">
      <v>2995273.85891</v>
    </nc>
  </rcc>
  <rcc rId="736" sId="3">
    <nc r="R14">
      <v>1070343.1280700001</v>
    </nc>
  </rcc>
  <rcc rId="737" sId="3">
    <nc r="R15">
      <v>15787.704009999999</v>
    </nc>
  </rcc>
  <rcc rId="738" sId="3">
    <nc r="R16">
      <v>12421.313039999999</v>
    </nc>
  </rcc>
  <rfmt sheetId="3" s="1" sqref="R17" start="0" length="0">
    <dxf>
      <font>
        <sz val="8"/>
        <color auto="1"/>
        <name val="Swis721CnEU"/>
        <scheme val="none"/>
      </font>
      <numFmt numFmtId="165" formatCode="_(* #\ ###\ ##0_);_(* \(#\ ###\ ##0\);_(* &quot;-&quot;_);_(@_)"/>
      <alignment horizontal="right" indent="1" readingOrder="0"/>
      <border outline="0">
        <left style="thick">
          <color indexed="9"/>
        </left>
        <right style="thick">
          <color indexed="9"/>
        </right>
        <top style="thin">
          <color indexed="9"/>
        </top>
        <bottom style="thin">
          <color indexed="64"/>
        </bottom>
      </border>
    </dxf>
  </rfmt>
  <rcc rId="739" sId="3" numFmtId="34">
    <nc r="R17">
      <v>6647</v>
    </nc>
  </rcc>
  <rcc rId="740" sId="3">
    <nc r="R18">
      <v>57825.882290000001</v>
    </nc>
  </rcc>
  <rcc rId="741" sId="3">
    <nc r="Q12">
      <f>R12-P12-O12</f>
    </nc>
  </rcc>
  <rcc rId="742" sId="3">
    <nc r="Q13">
      <f>R13-P13-O13</f>
    </nc>
  </rcc>
  <rcc rId="743" sId="3">
    <nc r="Q14">
      <f>R14-P14-O14</f>
    </nc>
  </rcc>
  <rcc rId="744" sId="3">
    <nc r="Q15">
      <f>R15-P15-O15</f>
    </nc>
  </rcc>
  <rcc rId="745" sId="3">
    <nc r="Q16">
      <f>R16-P16-O16</f>
    </nc>
  </rcc>
  <rcc rId="746" sId="3">
    <nc r="Q17">
      <f>R17-P17-O17</f>
    </nc>
  </rcc>
  <rcc rId="747" sId="3">
    <nc r="Q18">
      <f>R18-P18-O18</f>
    </nc>
  </rcc>
  <rfmt sheetId="3" s="1" sqref="R20" start="0" length="0">
    <dxf>
      <font>
        <sz val="8"/>
        <color auto="1"/>
        <name val="Swis721CnEU"/>
        <scheme val="none"/>
      </font>
      <numFmt numFmtId="165" formatCode="_(* #\ ###\ ##0_);_(* \(#\ ###\ ##0\);_(* &quot;-&quot;_);_(@_)"/>
      <alignment horizontal="right" indent="1" readingOrder="0"/>
      <border outline="0">
        <left style="thick">
          <color indexed="9"/>
        </left>
        <right style="thick">
          <color indexed="9"/>
        </right>
        <top style="thin">
          <color indexed="9"/>
        </top>
        <bottom style="thin">
          <color indexed="64"/>
        </bottom>
      </border>
    </dxf>
  </rfmt>
  <rcc rId="748" sId="3" numFmtId="34">
    <nc r="R20">
      <v>27945</v>
    </nc>
  </rcc>
  <rcc rId="749" sId="3">
    <nc r="R21">
      <v>608148</v>
    </nc>
  </rcc>
  <rcc rId="750" sId="3">
    <nc r="Q20">
      <f>R20-P20-O20</f>
    </nc>
  </rcc>
  <rcc rId="751" sId="3">
    <nc r="Q21">
      <f>R21-P21-O21</f>
    </nc>
  </rcc>
  <rcc rId="752" sId="3">
    <nc r="R23">
      <v>1126.67695</v>
    </nc>
  </rcc>
  <rcc rId="753" sId="3" odxf="1" s="1" dxf="1" numFmtId="34">
    <nc r="R24">
      <f>'P:\GIELDA\2020\KONSOLIDACJA\09 WRZESIEN\Dane do Analytical Review\odsetki\[odsetki_30.09.2020 — bez odejm. derecognition.xlsx]GR'!BV47/1000+'P:\GIELDA\2020\KONSOLIDACJA\09 WRZESIEN\Dane do Analytical Review\odsetki\[odsetki_30.09.2020 — bez odejm. derecognition.xlsx]SCB'!AD47/1000</f>
    </nc>
    <ndxf>
      <font>
        <sz val="8"/>
        <color auto="1"/>
        <name val="Swis721CnEU"/>
        <scheme val="none"/>
      </font>
      <numFmt numFmtId="165" formatCode="_(* #\ ###\ ##0_);_(* \(#\ ###\ ##0\);_(* &quot;-&quot;_);_(@_)"/>
      <fill>
        <patternFill patternType="solid">
          <bgColor rgb="FF92D050"/>
        </patternFill>
      </fill>
      <alignment horizontal="right" indent="1" readingOrder="0"/>
      <border outline="0">
        <left style="thick">
          <color indexed="9"/>
        </left>
        <right style="thick">
          <color indexed="9"/>
        </right>
        <bottom style="thin">
          <color indexed="64"/>
        </bottom>
      </border>
    </ndxf>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R24">
    <dxf>
      <fill>
        <patternFill patternType="none">
          <bgColor auto="1"/>
        </patternFill>
      </fill>
    </dxf>
  </rfmt>
  <rcc rId="754" sId="3" numFmtId="34">
    <oc r="R24">
      <f>'P:\GIELDA\2020\KONSOLIDACJA\09 WRZESIEN\Dane do Analytical Review\odsetki\[odsetki_30.09.2020 — bez odejm. derecognition.xlsx]GR'!BV47/1000+'P:\GIELDA\2020\KONSOLIDACJA\09 WRZESIEN\Dane do Analytical Review\odsetki\[odsetki_30.09.2020 — bez odejm. derecognition.xlsx]SCB'!AD47/1000</f>
    </oc>
    <nc r="R24">
      <v>35219</v>
    </nc>
  </rcc>
  <rcc rId="755" sId="3">
    <nc r="R25">
      <v>0</v>
    </nc>
  </rcc>
  <rcc rId="756" sId="3">
    <nc r="R26">
      <v>9931</v>
    </nc>
  </rcc>
  <rcc rId="757" sId="3">
    <nc r="Q23">
      <f>R23-P23-O23</f>
    </nc>
  </rcc>
  <rcc rId="758" sId="3">
    <nc r="Q24">
      <f>R24-P24-O24</f>
    </nc>
  </rcc>
  <rcc rId="759" sId="3">
    <nc r="Q25">
      <f>R25-P25-O25</f>
    </nc>
  </rcc>
  <rcc rId="760" sId="3">
    <nc r="Q26">
      <f>R26-P26-O26</f>
    </nc>
  </rcc>
  <rcc rId="761" sId="3">
    <nc r="R28">
      <v>-399079.92421000003</v>
    </nc>
  </rcc>
  <rcc rId="762" sId="3">
    <nc r="R29">
      <v>-229509.31077000001</v>
    </nc>
  </rcc>
  <rcc rId="763" sId="3">
    <nc r="R30">
      <v>-7869.2770600000003</v>
    </nc>
  </rcc>
  <rcc rId="764" sId="3">
    <nc r="R31">
      <v>-19635.670829999999</v>
    </nc>
  </rcc>
  <rcc rId="765" sId="3">
    <nc r="R32">
      <v>-48142.913639999999</v>
    </nc>
  </rcc>
  <rcc rId="766" sId="3">
    <nc r="R33">
      <v>-14858.33855</v>
    </nc>
  </rcc>
  <rcc rId="767" sId="3">
    <nc r="R34">
      <v>-160646.12169999999</v>
    </nc>
  </rcc>
  <rcc rId="768" sId="3">
    <nc r="Q28">
      <f>R28-P28-O28</f>
    </nc>
  </rcc>
  <rcc rId="769" sId="3">
    <nc r="Q29">
      <f>R29-P29-O29</f>
    </nc>
  </rcc>
  <rcc rId="770" sId="3">
    <nc r="Q30">
      <f>R30-P30-O30</f>
    </nc>
  </rcc>
  <rcc rId="771" sId="3">
    <nc r="Q31">
      <f>R31-P31-O31</f>
    </nc>
  </rcc>
  <rcc rId="772" sId="3">
    <nc r="Q32">
      <f>R32-P32-O32</f>
    </nc>
  </rcc>
  <rcc rId="773" sId="3">
    <nc r="Q34">
      <f>R34-P34-O34</f>
    </nc>
  </rcc>
  <rfmt sheetId="3" sqref="Q12">
    <dxf>
      <fill>
        <patternFill patternType="solid">
          <bgColor rgb="FFFFFF00"/>
        </patternFill>
      </fill>
    </dxf>
  </rfmt>
  <rcc rId="774" sId="3">
    <oc r="Q12">
      <f>R12-P12-O12</f>
    </oc>
    <nc r="Q12">
      <f>R12-P12-O12-1</f>
    </nc>
  </rcc>
  <rcc rId="775" sId="3">
    <nc r="Q33">
      <f>R33-P33-O33-1</f>
    </nc>
  </rcc>
  <rfmt sheetId="3" sqref="Q12">
    <dxf>
      <fill>
        <patternFill patternType="none">
          <bgColor auto="1"/>
        </patternFill>
      </fill>
    </dxf>
  </rfmt>
  <rcc rId="776" sId="3" numFmtId="34">
    <oc r="Q12">
      <f>R12-P12-O12-1</f>
    </oc>
    <nc r="Q12">
      <v>454302</v>
    </nc>
  </rcc>
  <rcc rId="777" sId="3" numFmtId="34">
    <oc r="Q13">
      <f>R13-P13-O13</f>
    </oc>
    <nc r="Q13">
      <v>863626</v>
    </nc>
  </rcc>
  <rcc rId="778" sId="3" numFmtId="34">
    <oc r="Q14">
      <f>R14-P14-O14</f>
    </oc>
    <nc r="Q14">
      <v>286950</v>
    </nc>
  </rcc>
  <rcc rId="779" sId="3" numFmtId="34">
    <oc r="Q15">
      <f>R15-P15-O15</f>
    </oc>
    <nc r="Q15">
      <v>454</v>
    </nc>
  </rcc>
  <rcc rId="780" sId="3" numFmtId="34">
    <oc r="Q16">
      <f>R16-P16-O16</f>
    </oc>
    <nc r="Q16">
      <v>228</v>
    </nc>
  </rcc>
  <rcc rId="781" sId="3" numFmtId="34">
    <oc r="Q17">
      <f>R17-P17-O17</f>
    </oc>
    <nc r="Q17">
      <v>1514</v>
    </nc>
  </rcc>
  <rcc rId="782" sId="3" numFmtId="34">
    <oc r="Q18">
      <f>R18-P18-O18</f>
    </oc>
    <nc r="Q18">
      <v>3177</v>
    </nc>
  </rcc>
  <rcc rId="783" sId="3" numFmtId="34">
    <oc r="Q20">
      <f>R20-P20-O20</f>
    </oc>
    <nc r="Q20">
      <v>7521</v>
    </nc>
  </rcc>
  <rcc rId="784" sId="3" numFmtId="34">
    <oc r="Q21">
      <f>R21-P21-O21</f>
    </oc>
    <nc r="Q21">
      <v>212387</v>
    </nc>
  </rcc>
  <rcc rId="785" sId="3" numFmtId="34">
    <oc r="Q23">
      <f>R23-P23-O23</f>
    </oc>
    <nc r="Q23">
      <v>223</v>
    </nc>
  </rcc>
  <rcc rId="786" sId="3" numFmtId="34">
    <oc r="Q24">
      <f>R24-P24-O24</f>
    </oc>
    <nc r="Q24">
      <v>4388</v>
    </nc>
  </rcc>
  <rcc rId="787" sId="3" numFmtId="34">
    <oc r="Q25">
      <f>R25-P25-O25</f>
    </oc>
    <nc r="Q25">
      <v>0</v>
    </nc>
  </rcc>
  <rcc rId="788" sId="3" numFmtId="34">
    <oc r="Q26">
      <f>R26-P26-O26</f>
    </oc>
    <nc r="Q26">
      <v>1022</v>
    </nc>
  </rcc>
  <rcc rId="789" sId="3" numFmtId="34">
    <oc r="Q28">
      <f>R28-P28-O28</f>
    </oc>
    <nc r="Q28">
      <v>-68976</v>
    </nc>
  </rcc>
  <rcc rId="790" sId="3" numFmtId="34">
    <oc r="Q29">
      <f>R29-P29-O29</f>
    </oc>
    <nc r="Q29">
      <v>-39467</v>
    </nc>
  </rcc>
  <rcc rId="791" sId="3" numFmtId="34">
    <oc r="Q30">
      <f>R30-P30-O30</f>
    </oc>
    <nc r="Q30">
      <v>329</v>
    </nc>
  </rcc>
  <rcc rId="792" sId="3" numFmtId="34">
    <oc r="Q31">
      <f>R31-P31-O31</f>
    </oc>
    <nc r="Q31">
      <v>-2077</v>
    </nc>
  </rcc>
  <rcc rId="793" sId="3" numFmtId="34">
    <oc r="Q32">
      <f>R32-P32-O32</f>
    </oc>
    <nc r="Q32">
      <v>-8907</v>
    </nc>
  </rcc>
  <rcc rId="794" sId="3" numFmtId="34">
    <oc r="Q33">
      <f>R33-P33-O33-1</f>
    </oc>
    <nc r="Q33">
      <v>-4568</v>
    </nc>
  </rcc>
  <rcc rId="795" sId="3" numFmtId="34">
    <oc r="Q34">
      <f>R34-P34-O34</f>
    </oc>
    <nc r="Q34">
      <v>-42494</v>
    </nc>
  </rcc>
  <rrc rId="796" sId="3" ref="R1:R1048576" action="deleteCol">
    <rfmt sheetId="3" xfDxf="1" sqref="R1:R1048576" start="0" length="0">
      <dxf>
        <font>
          <sz val="9"/>
          <name val="Open Sans"/>
          <scheme val="none"/>
        </font>
      </dxf>
    </rfmt>
    <rfmt sheetId="3" sqref="R1" start="0" length="0">
      <dxf>
        <border outline="0">
          <bottom style="thick">
            <color rgb="FFC00000"/>
          </bottom>
        </border>
      </dxf>
    </rfmt>
    <rfmt sheetId="3" sqref="R2" start="0" length="0">
      <dxf>
        <font>
          <b/>
          <sz val="9"/>
          <name val="Open Sans"/>
          <scheme val="none"/>
        </font>
      </dxf>
    </rfmt>
    <rfmt sheetId="3" sqref="R5" start="0" length="0">
      <dxf>
        <font>
          <i/>
          <sz val="9"/>
          <name val="Open Sans"/>
          <scheme val="none"/>
        </font>
      </dxf>
    </rfmt>
    <rfmt sheetId="3" sqref="R11" start="0" length="0">
      <dxf>
        <font>
          <b/>
          <sz val="9"/>
          <name val="Open Sans"/>
          <scheme val="none"/>
        </font>
      </dxf>
    </rfmt>
    <rcc rId="0" sId="3">
      <nc r="R12">
        <f>1347839.6131+239007</f>
      </nc>
    </rcc>
    <rcc rId="0" sId="3">
      <nc r="R13">
        <v>2995273.85891</v>
      </nc>
    </rcc>
    <rcc rId="0" sId="3" dxf="1">
      <nc r="R14">
        <v>1070343.1280700001</v>
      </nc>
      <ndxf>
        <font>
          <i/>
          <sz val="9"/>
          <name val="Open Sans"/>
          <scheme val="none"/>
        </font>
      </ndxf>
    </rcc>
    <rcc rId="0" sId="3">
      <nc r="R15">
        <v>15787.704009999999</v>
      </nc>
    </rcc>
    <rcc rId="0" sId="3">
      <nc r="R16">
        <v>12421.313039999999</v>
      </nc>
    </rcc>
    <rcc rId="0" sId="3" s="1" dxf="1" numFmtId="34">
      <nc r="R17">
        <v>6647</v>
      </nc>
      <ndxf>
        <font>
          <sz val="8"/>
          <color auto="1"/>
          <name val="Swis721CnEU"/>
          <scheme val="none"/>
        </font>
        <numFmt numFmtId="165" formatCode="_(* #\ ###\ ##0_);_(* \(#\ ###\ ##0\);_(* &quot;-&quot;_);_(@_)"/>
        <alignment horizontal="right" indent="1" readingOrder="0"/>
        <border outline="0">
          <left style="thick">
            <color indexed="9"/>
          </left>
          <right style="thick">
            <color indexed="9"/>
          </right>
          <top style="thin">
            <color indexed="9"/>
          </top>
          <bottom style="thin">
            <color indexed="64"/>
          </bottom>
        </border>
      </ndxf>
    </rcc>
    <rcc rId="0" sId="3">
      <nc r="R18">
        <v>57825.882290000001</v>
      </nc>
    </rcc>
    <rfmt sheetId="3" sqref="R19" start="0" length="0">
      <dxf>
        <font>
          <b/>
          <sz val="9"/>
          <name val="Open Sans"/>
          <scheme val="none"/>
        </font>
      </dxf>
    </rfmt>
    <rcc rId="0" sId="3" s="1" dxf="1" numFmtId="34">
      <nc r="R20">
        <v>27945</v>
      </nc>
      <ndxf>
        <font>
          <sz val="8"/>
          <color auto="1"/>
          <name val="Swis721CnEU"/>
          <scheme val="none"/>
        </font>
        <numFmt numFmtId="165" formatCode="_(* #\ ###\ ##0_);_(* \(#\ ###\ ##0\);_(* &quot;-&quot;_);_(@_)"/>
        <alignment horizontal="right" indent="1" readingOrder="0"/>
        <border outline="0">
          <left style="thick">
            <color indexed="9"/>
          </left>
          <right style="thick">
            <color indexed="9"/>
          </right>
          <top style="thin">
            <color indexed="9"/>
          </top>
          <bottom style="thin">
            <color indexed="64"/>
          </bottom>
        </border>
      </ndxf>
    </rcc>
    <rcc rId="0" sId="3">
      <nc r="R21">
        <v>608148</v>
      </nc>
    </rcc>
    <rfmt sheetId="3" sqref="R22" start="0" length="0">
      <dxf>
        <font>
          <b/>
          <sz val="9"/>
          <name val="Open Sans"/>
          <scheme val="none"/>
        </font>
      </dxf>
    </rfmt>
    <rcc rId="0" sId="3">
      <nc r="R23">
        <v>1126.67695</v>
      </nc>
    </rcc>
    <rcc rId="0" sId="3" s="1" dxf="1" numFmtId="34">
      <nc r="R24">
        <v>35219</v>
      </nc>
      <ndxf>
        <font>
          <sz val="8"/>
          <color auto="1"/>
          <name val="Swis721CnEU"/>
          <scheme val="none"/>
        </font>
        <numFmt numFmtId="165" formatCode="_(* #\ ###\ ##0_);_(* \(#\ ###\ ##0\);_(* &quot;-&quot;_);_(@_)"/>
        <alignment horizontal="right" indent="1" readingOrder="0"/>
        <border outline="0">
          <left style="thick">
            <color indexed="9"/>
          </left>
          <right style="thick">
            <color indexed="9"/>
          </right>
          <bottom style="thin">
            <color indexed="64"/>
          </bottom>
        </border>
      </ndxf>
    </rcc>
    <rcc rId="0" sId="3" dxf="1">
      <nc r="R25">
        <v>0</v>
      </nc>
      <ndxf>
        <font>
          <i/>
          <sz val="9"/>
          <name val="Open Sans"/>
          <scheme val="none"/>
        </font>
      </ndxf>
    </rcc>
    <rcc rId="0" sId="3">
      <nc r="R26">
        <v>9931</v>
      </nc>
    </rcc>
    <rfmt sheetId="3" sqref="R27" start="0" length="0">
      <dxf>
        <font>
          <b/>
          <sz val="9"/>
          <name val="Open Sans"/>
          <scheme val="none"/>
        </font>
      </dxf>
    </rfmt>
    <rcc rId="0" sId="3">
      <nc r="R28">
        <v>-399079.92421000003</v>
      </nc>
    </rcc>
    <rcc rId="0" sId="3">
      <nc r="R29">
        <v>-229509.31077000001</v>
      </nc>
    </rcc>
    <rcc rId="0" sId="3">
      <nc r="R30">
        <v>-7869.2770600000003</v>
      </nc>
    </rcc>
    <rcc rId="0" sId="3">
      <nc r="R31">
        <v>-19635.670829999999</v>
      </nc>
    </rcc>
    <rcc rId="0" sId="3">
      <nc r="R32">
        <v>-48142.913639999999</v>
      </nc>
    </rcc>
    <rcc rId="0" sId="3">
      <nc r="R33">
        <v>-14858.33855</v>
      </nc>
    </rcc>
    <rcc rId="0" sId="3">
      <nc r="R34">
        <v>-160646.12169999999</v>
      </nc>
    </rcc>
    <rfmt sheetId="3" sqref="R35" start="0" length="0">
      <dxf>
        <font>
          <b/>
          <sz val="9"/>
          <name val="Open Sans"/>
          <scheme val="none"/>
        </font>
      </dxf>
    </rfmt>
  </rrc>
  <rrc rId="797" sId="3" eol="1" ref="A36:XFD36" action="insertRow"/>
  <rfmt sheetId="3" sqref="Q36" start="0" length="0">
    <dxf>
      <numFmt numFmtId="165" formatCode="_(* #\ ###\ ##0_);_(* \(#\ ###\ ##0\);_(* &quot;-&quot;_);_(@_)"/>
    </dxf>
  </rfmt>
  <rrc rId="798" sId="3" eol="1" ref="A37:XFD37" action="insertRow"/>
  <rfmt sheetId="3" sqref="Q37" start="0" length="0">
    <dxf>
      <numFmt numFmtId="165" formatCode="_(* #\ ###\ ##0_);_(* \(#\ ###\ ##0\);_(* &quot;-&quot;_);_(@_)"/>
    </dxf>
  </rfmt>
  <rrc rId="799" sId="3" eol="1" ref="A38:XFD38" action="insertRow"/>
  <rfmt sheetId="3" sqref="Q38" start="0" length="0">
    <dxf>
      <numFmt numFmtId="165" formatCode="_(* #\ ###\ ##0_);_(* \(#\ ###\ ##0\);_(* &quot;-&quot;_);_(@_)"/>
    </dxf>
  </rfmt>
  <rrc rId="800" sId="3" eol="1" ref="A39:XFD39" action="insertRow"/>
  <rfmt sheetId="3" sqref="Q39" start="0" length="0">
    <dxf>
      <numFmt numFmtId="165" formatCode="_(* #\ ###\ ##0_);_(* \(#\ ###\ ##0\);_(* &quot;-&quot;_);_(@_)"/>
    </dxf>
  </rfmt>
  <rrc rId="801" sId="3" eol="1" ref="A40:XFD40" action="insertRow"/>
  <rfmt sheetId="3" sqref="Q40" start="0" length="0">
    <dxf>
      <numFmt numFmtId="165" formatCode="_(* #\ ###\ ##0_);_(* \(#\ ###\ ##0\);_(* &quot;-&quot;_);_(@_)"/>
    </dxf>
  </rfmt>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Q1" start="0" length="0">
    <dxf>
      <font>
        <b/>
        <sz val="8"/>
        <color rgb="FFC00000"/>
        <name val="Open Sans"/>
        <scheme val="none"/>
      </font>
      <numFmt numFmtId="19" formatCode="dd/mm/yyyy"/>
      <alignment horizontal="right" vertical="top" readingOrder="0"/>
      <border outline="0">
        <bottom style="medium">
          <color rgb="FFC00000"/>
        </bottom>
      </border>
    </dxf>
  </rfmt>
  <rfmt sheetId="12" sqref="Q2"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2" sqref="Q3"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cc rId="802" sId="12" odxf="1" dxf="1">
    <nc r="Q4">
      <f>SUM(Q2:Q3)</f>
    </nc>
    <n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ndxf>
  </rcc>
  <rfmt sheetId="12" sqref="Q5"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cc rId="803" sId="12" odxf="1" dxf="1">
    <oc r="Q6">
      <f>P6-BS!R4</f>
    </oc>
    <nc r="Q6">
      <f>SUM(Q4:Q5)</f>
    </nc>
    <ndxf>
      <font>
        <sz val="8"/>
        <color rgb="FFEC0000"/>
        <name val="Open Sans"/>
        <scheme val="none"/>
      </font>
      <alignment horizontal="right" vertical="top" readingOrder="0"/>
      <border outline="0">
        <top style="thin">
          <color rgb="FFEC0000"/>
        </top>
        <bottom style="thin">
          <color rgb="FFEC0000"/>
        </bottom>
      </border>
    </ndxf>
  </rcc>
  <rfmt sheetId="12" sqref="Q7" start="0" length="0">
    <dxf>
      <font>
        <sz val="8"/>
        <color auto="1"/>
        <name val="Open Sans"/>
        <scheme val="none"/>
      </font>
      <numFmt numFmtId="165" formatCode="_(* #\ ###\ ##0_);_(* \(#\ ###\ ##0\);_(* &quot;-&quot;_);_(@_)"/>
      <alignment horizontal="right" vertical="top" indent="1" readingOrder="0"/>
      <border outline="0">
        <left style="thin">
          <color indexed="9"/>
        </left>
        <top style="dotted">
          <color rgb="FF6F7779"/>
        </top>
      </border>
    </dxf>
  </rfmt>
  <rcc rId="804" sId="12" odxf="1" dxf="1">
    <nc r="Q8">
      <f>Q1</f>
    </nc>
    <ndxf>
      <font>
        <b/>
        <sz val="8"/>
        <color rgb="FFC00000"/>
        <name val="Open Sans"/>
        <scheme val="none"/>
      </font>
      <numFmt numFmtId="19" formatCode="dd/mm/yyyy"/>
      <alignment horizontal="right" vertical="top" readingOrder="0"/>
      <border outline="0">
        <bottom style="medium">
          <color rgb="FFC00000"/>
        </bottom>
      </border>
    </ndxf>
  </rcc>
  <rfmt sheetId="12" sqref="Q9"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2" sqref="Q10"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12" sqref="Q11" start="0" length="0">
    <dxf>
      <font>
        <sz val="8"/>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cc rId="805" sId="12" odxf="1" dxf="1">
    <oc r="Q12">
      <f>P12-BS!R29</f>
    </oc>
    <nc r="Q12">
      <f>SUM(Q9:Q11)</f>
    </nc>
    <ndxf>
      <font>
        <sz val="8"/>
        <color rgb="FFEC0000"/>
        <name val="Open Sans"/>
        <scheme val="none"/>
      </font>
      <alignment horizontal="right" vertical="top" readingOrder="0"/>
      <border outline="0">
        <top style="thin">
          <color rgb="FFEC0000"/>
        </top>
        <bottom style="thin">
          <color rgb="FFEC0000"/>
        </bottom>
      </border>
    </ndxf>
  </rcc>
  <rfmt sheetId="12" sqref="Q1:Q1048576" start="0" length="0">
    <dxf/>
  </rfmt>
  <rcc rId="806" sId="12" numFmtId="19">
    <nc r="Q1">
      <v>44104</v>
    </nc>
  </rcc>
  <rcc rId="807" sId="12" numFmtId="34">
    <nc r="Q2">
      <v>334447</v>
    </nc>
  </rcc>
  <rcc rId="808" sId="12" numFmtId="34">
    <nc r="Q3">
      <v>2636965</v>
    </nc>
  </rcc>
  <rcc rId="809" sId="12" numFmtId="34">
    <nc r="Q5">
      <v>-100</v>
    </nc>
  </rcc>
  <rcc rId="810" sId="12" numFmtId="34">
    <nc r="Q9">
      <v>971036</v>
    </nc>
  </rcc>
  <rcc rId="811" sId="12" numFmtId="34">
    <nc r="Q10">
      <v>1945051</v>
    </nc>
  </rcc>
  <rcc rId="812" sId="12" numFmtId="34">
    <nc r="Q11">
      <v>2272766</v>
    </nc>
  </rcc>
  <rfmt sheetId="12" sqref="R6" start="0" length="0">
    <dxf>
      <numFmt numFmtId="165" formatCode="_(* #\ ###\ ##0_);_(* \(#\ ###\ ##0\);_(* &quot;-&quot;_);_(@_)"/>
    </dxf>
  </rfmt>
  <rfmt sheetId="12" sqref="R12" start="0" length="0">
    <dxf>
      <numFmt numFmtId="165" formatCode="_(* #\ ###\ ##0_);_(* \(#\ ###\ ##0\);_(* &quot;-&quot;_);_(@_)"/>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Q1" start="0" length="0">
    <dxf>
      <font>
        <b/>
        <sz val="9"/>
        <color rgb="FFC00000"/>
        <name val="Open Sans"/>
        <scheme val="none"/>
      </font>
      <alignment horizontal="right" vertical="top" readingOrder="0"/>
      <border outline="0">
        <bottom style="medium">
          <color rgb="FFC00000"/>
        </bottom>
      </border>
    </dxf>
  </rfmt>
  <rfmt sheetId="5" sqref="Q2"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3"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4"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5"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6"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7"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8"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cc rId="813" sId="5" odxf="1" dxf="1">
    <nc r="Q9">
      <f>SUM(Q2:Q8)</f>
    </nc>
    <ndxf>
      <font>
        <sz val="8"/>
        <color rgb="FFEC0000"/>
        <name val="Open Sans"/>
        <scheme val="none"/>
      </font>
      <numFmt numFmtId="165" formatCode="_(* #\ ###\ ##0_);_(* \(#\ ###\ ##0\);_(* &quot;-&quot;_);_(@_)"/>
      <alignment horizontal="right" vertical="center" readingOrder="0"/>
      <border outline="0">
        <top style="thin">
          <color rgb="FFEC0000"/>
        </top>
        <bottom style="thin">
          <color rgb="FFEC0000"/>
        </bottom>
      </border>
    </ndxf>
  </rcc>
  <rcc rId="814" sId="5" odxf="1" dxf="1">
    <nc r="Q12">
      <f>Q1</f>
    </nc>
    <ndxf>
      <font>
        <b/>
        <sz val="9"/>
        <color rgb="FFC00000"/>
        <name val="Open Sans"/>
        <scheme val="none"/>
      </font>
      <alignment horizontal="right" vertical="top" readingOrder="0"/>
      <border outline="0">
        <bottom style="medium">
          <color rgb="FFC00000"/>
        </bottom>
      </border>
    </ndxf>
  </rcc>
  <rfmt sheetId="5" sqref="Q13"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4"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5"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6"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7"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8"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19"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0" start="0" length="0">
    <dxf>
      <font>
        <b val="0"/>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1" start="0" length="0">
    <dxf>
      <font>
        <sz val="9"/>
        <color auto="1"/>
        <name val="Open Sans"/>
        <scheme val="none"/>
      </font>
      <numFmt numFmtId="165" formatCode="_(* #\ ###\ ##0_);_(* \(#\ ###\ ##0\);_(* &quot;-&quot;_);_(@_)"/>
      <alignment horizontal="right" vertical="center" indent="1" readingOrder="0"/>
      <border outline="0">
        <top style="dotted">
          <color rgb="FF6F7779"/>
        </top>
        <bottom style="dotted">
          <color rgb="FF6F7779"/>
        </bottom>
      </border>
    </dxf>
  </rfmt>
  <rfmt sheetId="5" sqref="Q22"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3"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4"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5"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6"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7" start="0" length="0">
    <dxf>
      <font>
        <b val="0"/>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8"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29"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dxf>
  </rfmt>
  <rfmt sheetId="5" sqref="Q30" start="0" length="0">
    <dxf>
      <font>
        <sz val="9"/>
        <color auto="1"/>
        <name val="Open Sans"/>
        <scheme val="none"/>
      </font>
      <numFmt numFmtId="165" formatCode="_(* #\ ###\ ##0_);_(* \(#\ ###\ ##0\);_(* &quot;-&quot;_);_(@_)"/>
      <alignment horizontal="right" vertical="top" indent="1" readingOrder="0"/>
    </dxf>
  </rfmt>
  <rcc rId="815" sId="5" odxf="1" dxf="1">
    <nc r="Q31">
      <f>SUM(Q13:Q29)</f>
    </nc>
    <ndxf>
      <font>
        <sz val="9"/>
        <color rgb="FFEC0000"/>
        <name val="Open Sans"/>
        <scheme val="none"/>
      </font>
      <alignment horizontal="right" vertical="top" readingOrder="0"/>
      <border outline="0">
        <top style="thin">
          <color rgb="FFEC0000"/>
        </top>
        <bottom style="thin">
          <color rgb="FFEC0000"/>
        </bottom>
      </border>
    </ndxf>
  </rcc>
  <rfmt sheetId="5" sqref="Q32" start="0" length="0">
    <dxf>
      <numFmt numFmtId="165" formatCode="_(* #\ ###\ ##0_);_(* \(#\ ###\ ##0\);_(* &quot;-&quot;_);_(@_)"/>
    </dxf>
  </rfmt>
  <rcc rId="816" sId="5" odxf="1" dxf="1">
    <nc r="Q33">
      <f>SUM(Q34:Q35)</f>
    </nc>
    <ndxf>
      <font>
        <b/>
        <sz val="9"/>
        <color rgb="FFEC0000"/>
        <name val="Open Sans"/>
        <scheme val="none"/>
      </font>
      <numFmt numFmtId="165" formatCode="_(* #\ ###\ ##0_);_(* \(#\ ###\ ##0\);_(* &quot;-&quot;_);_(@_)"/>
      <alignment horizontal="right" vertical="top" readingOrder="0"/>
      <border outline="0">
        <top style="thin">
          <color rgb="FFEC0000"/>
        </top>
        <bottom style="thin">
          <color rgb="FFEC0000"/>
        </bottom>
      </border>
    </ndxf>
  </rcc>
  <rfmt sheetId="5" sqref="Q34" start="0" length="0">
    <dxf>
      <font>
        <sz val="9"/>
        <color auto="1"/>
        <name val="Open Sans"/>
        <scheme val="none"/>
      </font>
      <alignment horizontal="right" vertical="top" indent="1" readingOrder="0"/>
      <border outline="0">
        <top style="dotted">
          <color rgb="FF6F7779"/>
        </top>
        <bottom style="dotted">
          <color rgb="FF6F7779"/>
        </bottom>
      </border>
      <protection locked="0" hidden="1"/>
    </dxf>
  </rfmt>
  <rfmt sheetId="5" sqref="Q35" start="0" length="0">
    <dxf>
      <font>
        <sz val="9"/>
        <color auto="1"/>
        <name val="Open Sans"/>
        <scheme val="none"/>
      </font>
      <numFmt numFmtId="165" formatCode="_(* #\ ###\ ##0_);_(* \(#\ ###\ ##0\);_(* &quot;-&quot;_);_(@_)"/>
      <alignment horizontal="right" vertical="top" indent="1" readingOrder="0"/>
      <border outline="0">
        <top style="dotted">
          <color rgb="FF6F7779"/>
        </top>
        <bottom style="dotted">
          <color rgb="FF6F7779"/>
        </bottom>
      </border>
      <protection locked="0" hidden="1"/>
    </dxf>
  </rfmt>
  <rfmt sheetId="5" sqref="Q36" start="0" length="0">
    <dxf>
      <font>
        <sz val="9"/>
        <name val="Open Sans"/>
        <scheme val="none"/>
      </font>
    </dxf>
  </rfmt>
  <rfmt sheetId="5" sqref="Q37" start="0" length="0">
    <dxf>
      <font>
        <sz val="9"/>
        <name val="Open Sans"/>
        <scheme val="none"/>
      </font>
    </dxf>
  </rfmt>
  <rfmt sheetId="5" sqref="Q38" start="0" length="0">
    <dxf>
      <numFmt numFmtId="165" formatCode="_(* #\ ###\ ##0_);_(* \(#\ ###\ ##0\);_(* &quot;-&quot;_);_(@_)"/>
    </dxf>
  </rfmt>
  <rcc rId="817" sId="5">
    <nc r="Q1" t="inlineStr">
      <is>
        <t>III Q 2020</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Normal="68"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6" customWidth="1"/>
    <col min="3" max="11" width="13.42578125" style="6" customWidth="1"/>
    <col min="12" max="16" width="13.42578125" style="29" customWidth="1"/>
    <col min="17" max="17" width="15.5703125" style="29"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588</v>
      </c>
      <c r="M1" s="5" t="s">
        <v>622</v>
      </c>
      <c r="N1" s="5" t="s">
        <v>629</v>
      </c>
      <c r="O1" s="5" t="s">
        <v>669</v>
      </c>
      <c r="P1" s="5" t="s">
        <v>673</v>
      </c>
      <c r="Q1" s="5" t="s">
        <v>684</v>
      </c>
    </row>
    <row r="2" spans="1:18" ht="15" customHeight="1">
      <c r="A2" s="7" t="s">
        <v>149</v>
      </c>
      <c r="B2" s="351" t="s">
        <v>150</v>
      </c>
      <c r="C2" s="345">
        <v>1559802</v>
      </c>
      <c r="D2" s="345">
        <v>1620968</v>
      </c>
      <c r="E2" s="345">
        <v>1663808</v>
      </c>
      <c r="F2" s="345">
        <v>1684729</v>
      </c>
      <c r="G2" s="345">
        <v>1688501</v>
      </c>
      <c r="H2" s="345">
        <v>1736743</v>
      </c>
      <c r="I2" s="345">
        <v>1805709</v>
      </c>
      <c r="J2" s="345">
        <v>1982843</v>
      </c>
      <c r="K2" s="345">
        <v>2081699</v>
      </c>
      <c r="L2" s="345">
        <v>2116449</v>
      </c>
      <c r="M2" s="345">
        <v>2166156</v>
      </c>
      <c r="N2" s="345">
        <v>2097532</v>
      </c>
      <c r="O2" s="345">
        <v>2050090</v>
      </c>
      <c r="P2" s="345">
        <v>1758240</v>
      </c>
      <c r="Q2" s="345">
        <v>1548842</v>
      </c>
      <c r="R2" s="265">
        <v>209398</v>
      </c>
    </row>
    <row r="3" spans="1:18" ht="28.5" customHeight="1">
      <c r="A3" s="8" t="s">
        <v>119</v>
      </c>
      <c r="B3" s="352" t="s">
        <v>123</v>
      </c>
      <c r="C3" s="346">
        <v>0</v>
      </c>
      <c r="D3" s="346">
        <v>0</v>
      </c>
      <c r="E3" s="346">
        <v>0</v>
      </c>
      <c r="F3" s="346">
        <v>0</v>
      </c>
      <c r="G3" s="346">
        <v>1487943</v>
      </c>
      <c r="H3" s="346">
        <v>1537794</v>
      </c>
      <c r="I3" s="346">
        <v>1584506</v>
      </c>
      <c r="J3" s="346">
        <v>1734889</v>
      </c>
      <c r="K3" s="346">
        <v>1821282</v>
      </c>
      <c r="L3" s="346">
        <v>1869671</v>
      </c>
      <c r="M3" s="346">
        <v>1923854</v>
      </c>
      <c r="N3" s="346">
        <v>1852731</v>
      </c>
      <c r="O3" s="346">
        <v>1816161</v>
      </c>
      <c r="P3" s="346">
        <v>1535340</v>
      </c>
      <c r="Q3" s="346">
        <v>1323301</v>
      </c>
      <c r="R3" s="265">
        <v>212039</v>
      </c>
    </row>
    <row r="4" spans="1:18" ht="28.5" customHeight="1">
      <c r="A4" s="8" t="s">
        <v>120</v>
      </c>
      <c r="B4" s="352" t="s">
        <v>124</v>
      </c>
      <c r="C4" s="346">
        <v>0</v>
      </c>
      <c r="D4" s="346">
        <v>0</v>
      </c>
      <c r="E4" s="346">
        <v>0</v>
      </c>
      <c r="F4" s="346">
        <v>0</v>
      </c>
      <c r="G4" s="346">
        <v>163239</v>
      </c>
      <c r="H4" s="346">
        <v>174832</v>
      </c>
      <c r="I4" s="346">
        <v>189226</v>
      </c>
      <c r="J4" s="346">
        <v>206081</v>
      </c>
      <c r="K4" s="346">
        <v>209674</v>
      </c>
      <c r="L4" s="346">
        <v>199210</v>
      </c>
      <c r="M4" s="346">
        <v>209193</v>
      </c>
      <c r="N4" s="346">
        <v>215747</v>
      </c>
      <c r="O4" s="346">
        <v>206593</v>
      </c>
      <c r="P4" s="346">
        <v>209592</v>
      </c>
      <c r="Q4" s="346">
        <v>219908</v>
      </c>
      <c r="R4" s="265">
        <v>-10316</v>
      </c>
    </row>
    <row r="5" spans="1:18" ht="28.5" customHeight="1">
      <c r="A5" s="8" t="s">
        <v>121</v>
      </c>
      <c r="B5" s="352" t="s">
        <v>122</v>
      </c>
      <c r="C5" s="346">
        <v>0</v>
      </c>
      <c r="D5" s="346">
        <v>0</v>
      </c>
      <c r="E5" s="346">
        <v>0</v>
      </c>
      <c r="F5" s="346">
        <v>0</v>
      </c>
      <c r="G5" s="346">
        <v>37319</v>
      </c>
      <c r="H5" s="346">
        <v>24117</v>
      </c>
      <c r="I5" s="346">
        <v>31977</v>
      </c>
      <c r="J5" s="346">
        <v>41873</v>
      </c>
      <c r="K5" s="346">
        <v>50743</v>
      </c>
      <c r="L5" s="346">
        <v>47568</v>
      </c>
      <c r="M5" s="346">
        <v>33109</v>
      </c>
      <c r="N5" s="346">
        <v>29054</v>
      </c>
      <c r="O5" s="346">
        <v>27336</v>
      </c>
      <c r="P5" s="346">
        <v>13308</v>
      </c>
      <c r="Q5" s="346">
        <v>5633</v>
      </c>
      <c r="R5" s="265">
        <v>7675</v>
      </c>
    </row>
    <row r="6" spans="1:18" ht="15" customHeight="1">
      <c r="A6" s="10" t="s">
        <v>88</v>
      </c>
      <c r="B6" s="353" t="s">
        <v>50</v>
      </c>
      <c r="C6" s="346">
        <v>-305806</v>
      </c>
      <c r="D6" s="346">
        <v>-318481</v>
      </c>
      <c r="E6" s="346">
        <v>-322842</v>
      </c>
      <c r="F6" s="346">
        <v>-305281</v>
      </c>
      <c r="G6" s="346">
        <v>-298675</v>
      </c>
      <c r="H6" s="346">
        <v>-340536</v>
      </c>
      <c r="I6" s="346">
        <v>-383490</v>
      </c>
      <c r="J6" s="346">
        <v>-448690</v>
      </c>
      <c r="K6" s="346">
        <v>-473099</v>
      </c>
      <c r="L6" s="346">
        <v>-492917</v>
      </c>
      <c r="M6" s="346">
        <v>-465122</v>
      </c>
      <c r="N6" s="346">
        <v>-450529</v>
      </c>
      <c r="O6" s="346">
        <v>-413777</v>
      </c>
      <c r="P6" s="346">
        <v>-299805</v>
      </c>
      <c r="Q6" s="346">
        <v>-166160</v>
      </c>
      <c r="R6" s="265">
        <v>-133645</v>
      </c>
    </row>
    <row r="7" spans="1:18" ht="15" customHeight="1">
      <c r="A7" s="11" t="s">
        <v>89</v>
      </c>
      <c r="B7" s="354" t="s">
        <v>1</v>
      </c>
      <c r="C7" s="347">
        <v>1253996</v>
      </c>
      <c r="D7" s="347">
        <v>1302487</v>
      </c>
      <c r="E7" s="347">
        <v>1340966</v>
      </c>
      <c r="F7" s="347">
        <v>1379448</v>
      </c>
      <c r="G7" s="347">
        <v>1389826</v>
      </c>
      <c r="H7" s="347">
        <v>1396207</v>
      </c>
      <c r="I7" s="347">
        <v>1422219</v>
      </c>
      <c r="J7" s="347">
        <v>1534153</v>
      </c>
      <c r="K7" s="347">
        <v>1608600</v>
      </c>
      <c r="L7" s="347">
        <v>1623532</v>
      </c>
      <c r="M7" s="347">
        <v>1701034</v>
      </c>
      <c r="N7" s="347">
        <v>1647003</v>
      </c>
      <c r="O7" s="347">
        <v>1636313</v>
      </c>
      <c r="P7" s="347">
        <v>1458435</v>
      </c>
      <c r="Q7" s="347">
        <v>1382682</v>
      </c>
      <c r="R7" s="265">
        <v>75753</v>
      </c>
    </row>
    <row r="8" spans="1:18" ht="15" customHeight="1">
      <c r="A8" s="10" t="s">
        <v>90</v>
      </c>
      <c r="B8" s="353" t="s">
        <v>2</v>
      </c>
      <c r="C8" s="346">
        <v>571025</v>
      </c>
      <c r="D8" s="346">
        <v>607881</v>
      </c>
      <c r="E8" s="346">
        <v>654490</v>
      </c>
      <c r="F8" s="346">
        <v>642813</v>
      </c>
      <c r="G8" s="346">
        <v>603973</v>
      </c>
      <c r="H8" s="346">
        <v>649627</v>
      </c>
      <c r="I8" s="346">
        <v>608742</v>
      </c>
      <c r="J8" s="346">
        <v>664230</v>
      </c>
      <c r="K8" s="346">
        <v>629803</v>
      </c>
      <c r="L8" s="346">
        <v>661065</v>
      </c>
      <c r="M8" s="346">
        <v>662229</v>
      </c>
      <c r="N8" s="346">
        <v>694952</v>
      </c>
      <c r="O8" s="346">
        <v>661836</v>
      </c>
      <c r="P8" s="346">
        <v>603635</v>
      </c>
      <c r="Q8" s="346">
        <v>668754</v>
      </c>
      <c r="R8" s="265">
        <v>-65119</v>
      </c>
    </row>
    <row r="9" spans="1:18" ht="15" customHeight="1">
      <c r="A9" s="10" t="s">
        <v>91</v>
      </c>
      <c r="B9" s="353" t="s">
        <v>3</v>
      </c>
      <c r="C9" s="346">
        <v>-95832</v>
      </c>
      <c r="D9" s="346">
        <v>-112239</v>
      </c>
      <c r="E9" s="346">
        <v>-127585</v>
      </c>
      <c r="F9" s="346">
        <v>-127427</v>
      </c>
      <c r="G9" s="346">
        <v>-88859</v>
      </c>
      <c r="H9" s="346">
        <v>-119867</v>
      </c>
      <c r="I9" s="346">
        <v>-93092</v>
      </c>
      <c r="J9" s="346">
        <v>-166952</v>
      </c>
      <c r="K9" s="346">
        <v>-109741</v>
      </c>
      <c r="L9" s="346">
        <v>-138708</v>
      </c>
      <c r="M9" s="346">
        <v>-118182</v>
      </c>
      <c r="N9" s="346">
        <v>-153246</v>
      </c>
      <c r="O9" s="346">
        <v>-123592</v>
      </c>
      <c r="P9" s="346">
        <v>-111804</v>
      </c>
      <c r="Q9" s="346">
        <v>-116024</v>
      </c>
      <c r="R9" s="265">
        <v>4220</v>
      </c>
    </row>
    <row r="10" spans="1:18" ht="15" customHeight="1">
      <c r="A10" s="11" t="s">
        <v>55</v>
      </c>
      <c r="B10" s="354" t="s">
        <v>4</v>
      </c>
      <c r="C10" s="347">
        <v>475193</v>
      </c>
      <c r="D10" s="347">
        <v>495642</v>
      </c>
      <c r="E10" s="347">
        <v>526905</v>
      </c>
      <c r="F10" s="347">
        <v>515386</v>
      </c>
      <c r="G10" s="347">
        <v>515114</v>
      </c>
      <c r="H10" s="347">
        <v>529760</v>
      </c>
      <c r="I10" s="347">
        <v>515650</v>
      </c>
      <c r="J10" s="347">
        <v>497278</v>
      </c>
      <c r="K10" s="347">
        <v>520062</v>
      </c>
      <c r="L10" s="347">
        <v>522357</v>
      </c>
      <c r="M10" s="347">
        <v>544047</v>
      </c>
      <c r="N10" s="347">
        <v>541706</v>
      </c>
      <c r="O10" s="347">
        <v>538244</v>
      </c>
      <c r="P10" s="347">
        <v>491831</v>
      </c>
      <c r="Q10" s="347">
        <v>552730</v>
      </c>
      <c r="R10" s="265">
        <v>-60899</v>
      </c>
    </row>
    <row r="11" spans="1:18" ht="15" customHeight="1">
      <c r="A11" s="10" t="s">
        <v>92</v>
      </c>
      <c r="B11" s="353" t="s">
        <v>5</v>
      </c>
      <c r="C11" s="346">
        <v>345</v>
      </c>
      <c r="D11" s="346">
        <v>75579</v>
      </c>
      <c r="E11" s="346">
        <v>712</v>
      </c>
      <c r="F11" s="346">
        <v>180</v>
      </c>
      <c r="G11" s="346">
        <v>185</v>
      </c>
      <c r="H11" s="346">
        <v>98323</v>
      </c>
      <c r="I11" s="346">
        <v>1353</v>
      </c>
      <c r="J11" s="346">
        <v>255</v>
      </c>
      <c r="K11" s="346">
        <v>247</v>
      </c>
      <c r="L11" s="346">
        <v>96993</v>
      </c>
      <c r="M11" s="346">
        <v>1468</v>
      </c>
      <c r="N11" s="346">
        <v>513</v>
      </c>
      <c r="O11" s="346">
        <v>349</v>
      </c>
      <c r="P11" s="346">
        <v>20322</v>
      </c>
      <c r="Q11" s="346">
        <v>1825</v>
      </c>
      <c r="R11" s="265">
        <v>18497</v>
      </c>
    </row>
    <row r="12" spans="1:18" ht="15" customHeight="1">
      <c r="A12" s="10" t="s">
        <v>93</v>
      </c>
      <c r="B12" s="353" t="s">
        <v>6</v>
      </c>
      <c r="C12" s="346">
        <v>55858</v>
      </c>
      <c r="D12" s="346">
        <v>36228</v>
      </c>
      <c r="E12" s="346">
        <v>55567</v>
      </c>
      <c r="F12" s="346">
        <v>47321</v>
      </c>
      <c r="G12" s="346">
        <v>-1083</v>
      </c>
      <c r="H12" s="346">
        <v>69249</v>
      </c>
      <c r="I12" s="346">
        <v>60451</v>
      </c>
      <c r="J12" s="346">
        <v>15922</v>
      </c>
      <c r="K12" s="346">
        <v>48432</v>
      </c>
      <c r="L12" s="346">
        <v>30201</v>
      </c>
      <c r="M12" s="346">
        <v>63780</v>
      </c>
      <c r="N12" s="346">
        <v>73136</v>
      </c>
      <c r="O12" s="346">
        <v>6303</v>
      </c>
      <c r="P12" s="346">
        <v>58612</v>
      </c>
      <c r="Q12" s="346">
        <v>28321</v>
      </c>
      <c r="R12" s="265">
        <v>30291</v>
      </c>
    </row>
    <row r="13" spans="1:18" ht="15" customHeight="1">
      <c r="A13" s="10" t="s">
        <v>94</v>
      </c>
      <c r="B13" s="353" t="s">
        <v>7</v>
      </c>
      <c r="C13" s="346">
        <v>17177</v>
      </c>
      <c r="D13" s="346">
        <v>10770</v>
      </c>
      <c r="E13" s="346">
        <v>3962</v>
      </c>
      <c r="F13" s="346">
        <v>15593</v>
      </c>
      <c r="G13" s="346">
        <v>3927</v>
      </c>
      <c r="H13" s="346">
        <v>16900</v>
      </c>
      <c r="I13" s="346">
        <v>29449</v>
      </c>
      <c r="J13" s="346">
        <v>-12796</v>
      </c>
      <c r="K13" s="346">
        <v>32855</v>
      </c>
      <c r="L13" s="346">
        <v>61896</v>
      </c>
      <c r="M13" s="346">
        <v>42341</v>
      </c>
      <c r="N13" s="346">
        <v>48383</v>
      </c>
      <c r="O13" s="346">
        <v>26486</v>
      </c>
      <c r="P13" s="346">
        <v>27056</v>
      </c>
      <c r="Q13" s="346">
        <v>128102</v>
      </c>
      <c r="R13" s="265">
        <v>-101046</v>
      </c>
    </row>
    <row r="14" spans="1:18" ht="14.45" customHeight="1">
      <c r="A14" s="10" t="s">
        <v>109</v>
      </c>
      <c r="B14" s="353" t="s">
        <v>54</v>
      </c>
      <c r="C14" s="346">
        <v>3757</v>
      </c>
      <c r="D14" s="346">
        <v>0</v>
      </c>
      <c r="E14" s="346">
        <v>0</v>
      </c>
      <c r="F14" s="346">
        <v>0</v>
      </c>
      <c r="G14" s="346">
        <v>-65</v>
      </c>
      <c r="H14" s="346">
        <v>0</v>
      </c>
      <c r="I14" s="346">
        <v>0</v>
      </c>
      <c r="J14" s="346">
        <v>0</v>
      </c>
      <c r="K14" s="346">
        <v>0</v>
      </c>
      <c r="L14" s="346">
        <v>0</v>
      </c>
      <c r="M14" s="346">
        <v>0</v>
      </c>
      <c r="N14" s="346">
        <v>0</v>
      </c>
      <c r="O14" s="346">
        <v>0</v>
      </c>
      <c r="P14" s="346">
        <v>0</v>
      </c>
      <c r="Q14" s="346">
        <v>0</v>
      </c>
      <c r="R14" s="265">
        <v>0</v>
      </c>
    </row>
    <row r="15" spans="1:18" ht="15" customHeight="1">
      <c r="A15" s="10" t="s">
        <v>95</v>
      </c>
      <c r="B15" s="353" t="s">
        <v>8</v>
      </c>
      <c r="C15" s="346">
        <v>42340</v>
      </c>
      <c r="D15" s="346">
        <v>32204</v>
      </c>
      <c r="E15" s="346">
        <v>23671</v>
      </c>
      <c r="F15" s="346">
        <v>52372</v>
      </c>
      <c r="G15" s="346">
        <v>77448</v>
      </c>
      <c r="H15" s="346">
        <v>76421</v>
      </c>
      <c r="I15" s="346">
        <v>25814</v>
      </c>
      <c r="J15" s="346">
        <v>34159</v>
      </c>
      <c r="K15" s="346">
        <v>32270</v>
      </c>
      <c r="L15" s="346">
        <v>50602</v>
      </c>
      <c r="M15" s="346">
        <v>100791</v>
      </c>
      <c r="N15" s="346">
        <v>69832</v>
      </c>
      <c r="O15" s="346">
        <v>40816</v>
      </c>
      <c r="P15" s="346">
        <v>25724</v>
      </c>
      <c r="Q15" s="346">
        <v>40773</v>
      </c>
      <c r="R15" s="265">
        <v>-15049</v>
      </c>
    </row>
    <row r="16" spans="1:18" ht="15" customHeight="1">
      <c r="A16" s="10" t="s">
        <v>153</v>
      </c>
      <c r="B16" s="353" t="s">
        <v>154</v>
      </c>
      <c r="C16" s="346"/>
      <c r="D16" s="346"/>
      <c r="E16" s="346"/>
      <c r="F16" s="346"/>
      <c r="G16" s="346">
        <v>0</v>
      </c>
      <c r="H16" s="346">
        <v>0</v>
      </c>
      <c r="I16" s="346">
        <v>0</v>
      </c>
      <c r="J16" s="346">
        <v>419295</v>
      </c>
      <c r="K16" s="346">
        <v>0</v>
      </c>
      <c r="L16" s="346">
        <v>0</v>
      </c>
      <c r="M16" s="346">
        <v>0</v>
      </c>
      <c r="N16" s="346">
        <v>0</v>
      </c>
      <c r="O16" s="346">
        <v>0</v>
      </c>
      <c r="P16" s="346">
        <v>0</v>
      </c>
      <c r="Q16" s="346">
        <v>0</v>
      </c>
      <c r="R16" s="265">
        <v>0</v>
      </c>
    </row>
    <row r="17" spans="1:27" ht="15" customHeight="1">
      <c r="A17" s="10" t="s">
        <v>139</v>
      </c>
      <c r="B17" s="353" t="s">
        <v>9</v>
      </c>
      <c r="C17" s="346">
        <v>-145512</v>
      </c>
      <c r="D17" s="346">
        <v>-100366</v>
      </c>
      <c r="E17" s="346">
        <v>-231653</v>
      </c>
      <c r="F17" s="346">
        <v>-212942</v>
      </c>
      <c r="G17" s="346">
        <v>-203364</v>
      </c>
      <c r="H17" s="346">
        <v>-257876</v>
      </c>
      <c r="I17" s="346">
        <v>-253665</v>
      </c>
      <c r="J17" s="346">
        <v>-370163</v>
      </c>
      <c r="K17" s="346">
        <v>-262688</v>
      </c>
      <c r="L17" s="346">
        <v>-356558</v>
      </c>
      <c r="M17" s="346">
        <v>-336556</v>
      </c>
      <c r="N17" s="346">
        <v>-263551</v>
      </c>
      <c r="O17" s="346">
        <v>-466300</v>
      </c>
      <c r="P17" s="346">
        <v>-480919</v>
      </c>
      <c r="Q17" s="346">
        <v>-358898</v>
      </c>
      <c r="R17" s="265">
        <v>-122021</v>
      </c>
    </row>
    <row r="18" spans="1:27" ht="15" customHeight="1">
      <c r="A18" s="10" t="s">
        <v>314</v>
      </c>
      <c r="B18" s="353" t="s">
        <v>10</v>
      </c>
      <c r="C18" s="346">
        <v>-865972</v>
      </c>
      <c r="D18" s="346">
        <v>-828582</v>
      </c>
      <c r="E18" s="346">
        <v>-807694</v>
      </c>
      <c r="F18" s="346">
        <v>-870166</v>
      </c>
      <c r="G18" s="346">
        <v>-971151</v>
      </c>
      <c r="H18" s="346">
        <v>-915827</v>
      </c>
      <c r="I18" s="346">
        <v>-916628</v>
      </c>
      <c r="J18" s="346">
        <v>-965363</v>
      </c>
      <c r="K18" s="346">
        <v>-1236233</v>
      </c>
      <c r="L18" s="346">
        <v>-1016451</v>
      </c>
      <c r="M18" s="346">
        <v>-982177</v>
      </c>
      <c r="N18" s="346">
        <v>-1231429</v>
      </c>
      <c r="O18" s="346">
        <v>-1265327</v>
      </c>
      <c r="P18" s="346">
        <v>-963782</v>
      </c>
      <c r="Q18" s="346">
        <v>-929893</v>
      </c>
      <c r="R18" s="265">
        <v>-33889</v>
      </c>
    </row>
    <row r="19" spans="1:27" s="15" customFormat="1" ht="15" customHeight="1">
      <c r="A19" s="13" t="s">
        <v>140</v>
      </c>
      <c r="B19" s="355" t="s">
        <v>141</v>
      </c>
      <c r="C19" s="348">
        <v>-763710</v>
      </c>
      <c r="D19" s="348">
        <v>-734087</v>
      </c>
      <c r="E19" s="348">
        <v>-686366</v>
      </c>
      <c r="F19" s="348">
        <v>-755269</v>
      </c>
      <c r="G19" s="348">
        <v>-862454</v>
      </c>
      <c r="H19" s="348">
        <v>-751413</v>
      </c>
      <c r="I19" s="348">
        <v>-800454</v>
      </c>
      <c r="J19" s="348">
        <v>-828437</v>
      </c>
      <c r="K19" s="348">
        <v>-1056859</v>
      </c>
      <c r="L19" s="348">
        <v>-813201</v>
      </c>
      <c r="M19" s="348">
        <v>-789211</v>
      </c>
      <c r="N19" s="348">
        <v>-766961</v>
      </c>
      <c r="O19" s="348">
        <v>-1021684</v>
      </c>
      <c r="P19" s="348">
        <v>-667015</v>
      </c>
      <c r="Q19" s="348">
        <v>-729211</v>
      </c>
      <c r="R19" s="265">
        <v>62196</v>
      </c>
      <c r="S19" s="30"/>
      <c r="T19" s="30"/>
      <c r="U19" s="30"/>
      <c r="V19" s="30"/>
      <c r="W19" s="30"/>
      <c r="X19" s="30"/>
      <c r="Y19" s="30"/>
      <c r="Z19" s="30"/>
      <c r="AA19" s="30"/>
    </row>
    <row r="20" spans="1:27" s="15" customFormat="1" ht="15" customHeight="1">
      <c r="A20" s="13" t="s">
        <v>160</v>
      </c>
      <c r="B20" s="355" t="s">
        <v>11</v>
      </c>
      <c r="C20" s="348">
        <v>-74269</v>
      </c>
      <c r="D20" s="348">
        <v>-77840</v>
      </c>
      <c r="E20" s="348">
        <v>-82167</v>
      </c>
      <c r="F20" s="348">
        <v>-84657</v>
      </c>
      <c r="G20" s="348">
        <v>-82536</v>
      </c>
      <c r="H20" s="348">
        <v>-79866</v>
      </c>
      <c r="I20" s="348">
        <v>-82093</v>
      </c>
      <c r="J20" s="348">
        <v>-88975</v>
      </c>
      <c r="K20" s="348">
        <v>-99583</v>
      </c>
      <c r="L20" s="348">
        <v>-102806</v>
      </c>
      <c r="M20" s="348">
        <v>-103264</v>
      </c>
      <c r="N20" s="348">
        <v>-119571</v>
      </c>
      <c r="O20" s="348">
        <v>-99142</v>
      </c>
      <c r="P20" s="348">
        <v>-95630</v>
      </c>
      <c r="Q20" s="348">
        <v>-98185</v>
      </c>
      <c r="R20" s="265">
        <v>2555</v>
      </c>
      <c r="S20" s="30"/>
      <c r="T20" s="30"/>
      <c r="U20" s="30"/>
      <c r="V20" s="30"/>
      <c r="W20" s="30"/>
      <c r="X20" s="30"/>
      <c r="Y20" s="30"/>
      <c r="Z20" s="30"/>
      <c r="AA20" s="30"/>
    </row>
    <row r="21" spans="1:27" s="15" customFormat="1" ht="15" customHeight="1">
      <c r="A21" s="13" t="s">
        <v>161</v>
      </c>
      <c r="B21" s="355" t="s">
        <v>162</v>
      </c>
      <c r="C21" s="348"/>
      <c r="D21" s="348"/>
      <c r="E21" s="348"/>
      <c r="F21" s="348"/>
      <c r="G21" s="348">
        <v>0</v>
      </c>
      <c r="H21" s="348">
        <v>0</v>
      </c>
      <c r="I21" s="348">
        <v>0</v>
      </c>
      <c r="J21" s="348">
        <v>0</v>
      </c>
      <c r="K21" s="348">
        <v>-52998</v>
      </c>
      <c r="L21" s="348">
        <v>-54412</v>
      </c>
      <c r="M21" s="348">
        <v>-54283</v>
      </c>
      <c r="N21" s="348">
        <v>-41258</v>
      </c>
      <c r="O21" s="348">
        <v>-53160</v>
      </c>
      <c r="P21" s="348">
        <v>-51080</v>
      </c>
      <c r="Q21" s="348">
        <v>-48048</v>
      </c>
      <c r="R21" s="265">
        <v>-3032</v>
      </c>
      <c r="S21" s="30"/>
      <c r="T21" s="30"/>
      <c r="U21" s="30"/>
      <c r="V21" s="30"/>
      <c r="W21" s="30"/>
      <c r="X21" s="30"/>
      <c r="Y21" s="30"/>
      <c r="Z21" s="30"/>
      <c r="AA21" s="30"/>
    </row>
    <row r="22" spans="1:27" s="15" customFormat="1" ht="15" customHeight="1">
      <c r="A22" s="13" t="s">
        <v>60</v>
      </c>
      <c r="B22" s="355" t="s">
        <v>12</v>
      </c>
      <c r="C22" s="348">
        <v>-27993</v>
      </c>
      <c r="D22" s="348">
        <v>-16655</v>
      </c>
      <c r="E22" s="348">
        <v>-39161</v>
      </c>
      <c r="F22" s="348">
        <v>-30240</v>
      </c>
      <c r="G22" s="348">
        <v>-26161</v>
      </c>
      <c r="H22" s="348">
        <v>-84548</v>
      </c>
      <c r="I22" s="348">
        <v>-34081</v>
      </c>
      <c r="J22" s="348">
        <v>-47951</v>
      </c>
      <c r="K22" s="348">
        <v>-26793</v>
      </c>
      <c r="L22" s="348">
        <v>-46032</v>
      </c>
      <c r="M22" s="348">
        <v>-35419</v>
      </c>
      <c r="N22" s="348">
        <v>-303639</v>
      </c>
      <c r="O22" s="348">
        <v>-91341</v>
      </c>
      <c r="P22" s="348">
        <v>-150057</v>
      </c>
      <c r="Q22" s="348">
        <v>-54449</v>
      </c>
      <c r="R22" s="265">
        <v>-95608</v>
      </c>
      <c r="S22" s="30"/>
      <c r="T22" s="30"/>
      <c r="U22" s="30"/>
      <c r="V22" s="30"/>
      <c r="W22" s="30"/>
      <c r="X22" s="30"/>
      <c r="Y22" s="30"/>
      <c r="Z22" s="30"/>
      <c r="AA22" s="30"/>
    </row>
    <row r="23" spans="1:27" ht="30" customHeight="1">
      <c r="A23" s="10" t="s">
        <v>110</v>
      </c>
      <c r="B23" s="353" t="s">
        <v>51</v>
      </c>
      <c r="C23" s="346">
        <v>8655</v>
      </c>
      <c r="D23" s="346">
        <v>15157</v>
      </c>
      <c r="E23" s="346">
        <v>14734</v>
      </c>
      <c r="F23" s="346">
        <v>19718</v>
      </c>
      <c r="G23" s="346">
        <v>10998</v>
      </c>
      <c r="H23" s="346">
        <v>14504</v>
      </c>
      <c r="I23" s="346">
        <v>16752</v>
      </c>
      <c r="J23" s="346">
        <v>20413</v>
      </c>
      <c r="K23" s="346">
        <v>14338</v>
      </c>
      <c r="L23" s="346">
        <v>15945</v>
      </c>
      <c r="M23" s="346">
        <v>18641</v>
      </c>
      <c r="N23" s="346">
        <v>18268</v>
      </c>
      <c r="O23" s="346">
        <v>16699</v>
      </c>
      <c r="P23" s="346">
        <v>20140</v>
      </c>
      <c r="Q23" s="346">
        <v>31620</v>
      </c>
      <c r="R23" s="265">
        <v>-11480</v>
      </c>
    </row>
    <row r="24" spans="1:27" ht="15" customHeight="1">
      <c r="A24" s="16" t="s">
        <v>101</v>
      </c>
      <c r="B24" s="356" t="s">
        <v>102</v>
      </c>
      <c r="C24" s="349">
        <v>-106392</v>
      </c>
      <c r="D24" s="349">
        <v>-108320</v>
      </c>
      <c r="E24" s="349">
        <v>-109373</v>
      </c>
      <c r="F24" s="349">
        <v>-113471</v>
      </c>
      <c r="G24" s="349">
        <v>-113444</v>
      </c>
      <c r="H24" s="349">
        <v>-119546</v>
      </c>
      <c r="I24" s="349">
        <v>-123515</v>
      </c>
      <c r="J24" s="349">
        <v>-143255</v>
      </c>
      <c r="K24" s="349">
        <v>-153693</v>
      </c>
      <c r="L24" s="349">
        <v>-151603</v>
      </c>
      <c r="M24" s="349">
        <v>-146433</v>
      </c>
      <c r="N24" s="349">
        <v>-147305</v>
      </c>
      <c r="O24" s="349">
        <v>-148629</v>
      </c>
      <c r="P24" s="349">
        <v>-152499</v>
      </c>
      <c r="Q24" s="349">
        <v>-147835</v>
      </c>
      <c r="R24" s="265">
        <v>-4664</v>
      </c>
    </row>
    <row r="25" spans="1:27" ht="15" customHeight="1">
      <c r="A25" s="11" t="s">
        <v>96</v>
      </c>
      <c r="B25" s="354" t="s">
        <v>13</v>
      </c>
      <c r="C25" s="347">
        <v>739445</v>
      </c>
      <c r="D25" s="347">
        <v>930799</v>
      </c>
      <c r="E25" s="347">
        <v>817797</v>
      </c>
      <c r="F25" s="347">
        <v>833439</v>
      </c>
      <c r="G25" s="347">
        <v>708391</v>
      </c>
      <c r="H25" s="347">
        <v>908115</v>
      </c>
      <c r="I25" s="347">
        <v>777880</v>
      </c>
      <c r="J25" s="347">
        <v>1029898</v>
      </c>
      <c r="K25" s="347">
        <v>604190</v>
      </c>
      <c r="L25" s="347">
        <v>876914</v>
      </c>
      <c r="M25" s="347">
        <v>1006936</v>
      </c>
      <c r="N25" s="347">
        <v>756556</v>
      </c>
      <c r="O25" s="347">
        <v>384954</v>
      </c>
      <c r="P25" s="347">
        <v>504920</v>
      </c>
      <c r="Q25" s="347">
        <v>729427</v>
      </c>
      <c r="R25" s="265">
        <v>-224507</v>
      </c>
    </row>
    <row r="26" spans="1:27" ht="15" customHeight="1">
      <c r="A26" s="17" t="s">
        <v>97</v>
      </c>
      <c r="B26" s="357" t="s">
        <v>14</v>
      </c>
      <c r="C26" s="349">
        <v>-212812</v>
      </c>
      <c r="D26" s="349">
        <v>-199737</v>
      </c>
      <c r="E26" s="349">
        <v>-188610</v>
      </c>
      <c r="F26" s="349">
        <v>-215548</v>
      </c>
      <c r="G26" s="349">
        <v>-180987</v>
      </c>
      <c r="H26" s="349">
        <v>-176520</v>
      </c>
      <c r="I26" s="349">
        <v>-201320</v>
      </c>
      <c r="J26" s="349">
        <v>-168312</v>
      </c>
      <c r="K26" s="349">
        <v>-191634</v>
      </c>
      <c r="L26" s="349">
        <v>-198989</v>
      </c>
      <c r="M26" s="349">
        <v>-227709</v>
      </c>
      <c r="N26" s="349">
        <v>-182156</v>
      </c>
      <c r="O26" s="349">
        <v>-152077</v>
      </c>
      <c r="P26" s="349">
        <v>-157779</v>
      </c>
      <c r="Q26" s="349">
        <v>-189459</v>
      </c>
      <c r="R26" s="265">
        <v>31680</v>
      </c>
    </row>
    <row r="27" spans="1:27" ht="15" customHeight="1">
      <c r="A27" s="7" t="s">
        <v>98</v>
      </c>
      <c r="B27" s="351" t="s">
        <v>52</v>
      </c>
      <c r="C27" s="345">
        <v>526633</v>
      </c>
      <c r="D27" s="345">
        <v>731062</v>
      </c>
      <c r="E27" s="345">
        <v>629187</v>
      </c>
      <c r="F27" s="345">
        <v>617891</v>
      </c>
      <c r="G27" s="345">
        <v>527404</v>
      </c>
      <c r="H27" s="345">
        <v>731595</v>
      </c>
      <c r="I27" s="345">
        <v>576560</v>
      </c>
      <c r="J27" s="345">
        <v>861586</v>
      </c>
      <c r="K27" s="345">
        <v>412556</v>
      </c>
      <c r="L27" s="345">
        <v>677925</v>
      </c>
      <c r="M27" s="345">
        <v>779227</v>
      </c>
      <c r="N27" s="345">
        <v>574400</v>
      </c>
      <c r="O27" s="345">
        <v>232877</v>
      </c>
      <c r="P27" s="345">
        <v>347141</v>
      </c>
      <c r="Q27" s="345">
        <v>539968</v>
      </c>
      <c r="R27" s="265">
        <v>-192827</v>
      </c>
    </row>
    <row r="28" spans="1:27" ht="15" customHeight="1">
      <c r="A28" s="16" t="s">
        <v>99</v>
      </c>
      <c r="B28" s="356" t="s">
        <v>53</v>
      </c>
      <c r="C28" s="349"/>
      <c r="D28" s="349"/>
      <c r="E28" s="349"/>
      <c r="F28" s="349"/>
      <c r="G28" s="349"/>
      <c r="H28" s="349"/>
      <c r="I28" s="349"/>
      <c r="J28" s="349"/>
      <c r="K28" s="349"/>
      <c r="L28" s="349"/>
      <c r="M28" s="349"/>
      <c r="N28" s="349"/>
      <c r="O28" s="349"/>
      <c r="P28" s="349"/>
      <c r="Q28" s="349"/>
      <c r="R28" s="265">
        <v>0</v>
      </c>
    </row>
    <row r="29" spans="1:27" ht="15" customHeight="1">
      <c r="A29" s="10" t="s">
        <v>138</v>
      </c>
      <c r="B29" s="353" t="s">
        <v>142</v>
      </c>
      <c r="C29" s="346">
        <v>452461</v>
      </c>
      <c r="D29" s="346">
        <v>647914</v>
      </c>
      <c r="E29" s="346">
        <v>556427</v>
      </c>
      <c r="F29" s="346">
        <v>542511</v>
      </c>
      <c r="G29" s="346">
        <v>433933</v>
      </c>
      <c r="H29" s="346">
        <v>643810</v>
      </c>
      <c r="I29" s="346">
        <v>497466</v>
      </c>
      <c r="J29" s="346">
        <v>788145</v>
      </c>
      <c r="K29" s="346">
        <v>339007</v>
      </c>
      <c r="L29" s="346">
        <v>596465</v>
      </c>
      <c r="M29" s="346">
        <v>695841</v>
      </c>
      <c r="N29" s="346">
        <v>507034</v>
      </c>
      <c r="O29" s="346">
        <v>170934</v>
      </c>
      <c r="P29" s="346">
        <v>304853</v>
      </c>
      <c r="Q29" s="346">
        <v>479834</v>
      </c>
      <c r="R29" s="265">
        <v>-174981</v>
      </c>
    </row>
    <row r="30" spans="1:27" ht="15" customHeight="1">
      <c r="A30" s="18" t="s">
        <v>100</v>
      </c>
      <c r="B30" s="358" t="s">
        <v>15</v>
      </c>
      <c r="C30" s="350">
        <v>74172</v>
      </c>
      <c r="D30" s="350">
        <v>83148</v>
      </c>
      <c r="E30" s="350">
        <v>72760</v>
      </c>
      <c r="F30" s="350">
        <v>75380</v>
      </c>
      <c r="G30" s="350">
        <v>93471</v>
      </c>
      <c r="H30" s="350">
        <v>87785</v>
      </c>
      <c r="I30" s="350">
        <v>79094</v>
      </c>
      <c r="J30" s="350">
        <v>73441</v>
      </c>
      <c r="K30" s="350">
        <v>73549</v>
      </c>
      <c r="L30" s="350">
        <v>81460</v>
      </c>
      <c r="M30" s="350">
        <v>83386</v>
      </c>
      <c r="N30" s="350">
        <v>67366</v>
      </c>
      <c r="O30" s="408">
        <v>61943</v>
      </c>
      <c r="P30" s="408">
        <v>42288</v>
      </c>
      <c r="Q30" s="408">
        <v>60134</v>
      </c>
      <c r="R30" s="265">
        <v>-17846</v>
      </c>
    </row>
    <row r="31" spans="1:27" s="29" customFormat="1" ht="17.25" customHeight="1">
      <c r="M31" s="298"/>
      <c r="Q31" s="295"/>
    </row>
    <row r="32" spans="1:27">
      <c r="L32" s="6"/>
      <c r="M32" s="6"/>
      <c r="N32" s="6"/>
      <c r="O32" s="6"/>
      <c r="P32" s="6"/>
      <c r="Q32" s="6"/>
    </row>
    <row r="34" spans="6:14">
      <c r="F34" s="460"/>
      <c r="G34" s="460"/>
      <c r="H34" s="460"/>
      <c r="I34" s="460"/>
      <c r="J34" s="460"/>
      <c r="K34" s="460"/>
      <c r="L34" s="460"/>
      <c r="M34" s="460"/>
      <c r="N34" s="460"/>
    </row>
    <row r="35" spans="6:14">
      <c r="N35" s="460"/>
    </row>
  </sheetData>
  <customSheetViews>
    <customSheetView guid="{746490BF-9C44-4B41-8803-BEC9E453576A}">
      <pane xSplit="2" ySplit="1" topLeftCell="C2" activePane="bottomRight" state="frozen"/>
      <selection pane="bottomRight" activeCell="C2" sqref="C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9AF4A83C-CF57-4B40-8A74-6A0EA6C2FE5C}" hiddenColumns="1" topLeftCell="A7">
      <selection activeCell="B38" sqref="B38"/>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99D69CD-4B7E-42BC-9944-5BD922EB798C}" topLeftCell="K22">
      <selection activeCell="O17" sqref="O17"/>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hiddenRows="1" topLeftCell="G1">
      <selection activeCell="I18" sqref="I18"/>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687A4863-1825-4D63-B732-E76682E6DE4F}" scale="68" topLeftCell="E1">
      <selection activeCell="T12" sqref="T12"/>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12F8D032-8143-430B-8DFF-852E8796C402}" topLeftCell="E1">
      <selection activeCell="Q4" sqref="Q4"/>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2.75"/>
  <cols>
    <col min="1" max="1" width="33.140625" style="98" customWidth="1"/>
    <col min="2" max="2" width="36.5703125" style="98" customWidth="1"/>
    <col min="3" max="13" width="13.140625" style="98" customWidth="1"/>
    <col min="14" max="16384" width="9.140625" style="98"/>
  </cols>
  <sheetData>
    <row r="1" spans="1:13">
      <c r="A1" s="97" t="s">
        <v>315</v>
      </c>
      <c r="B1" s="97" t="s">
        <v>316</v>
      </c>
    </row>
    <row r="2" spans="1:13" ht="43.5" customHeight="1" thickBot="1">
      <c r="A2" s="99" t="s">
        <v>675</v>
      </c>
      <c r="B2" s="99" t="s">
        <v>676</v>
      </c>
      <c r="C2" s="100" t="s">
        <v>118</v>
      </c>
      <c r="D2" s="100" t="s">
        <v>136</v>
      </c>
      <c r="E2" s="100" t="s">
        <v>137</v>
      </c>
      <c r="F2" s="100" t="s">
        <v>146</v>
      </c>
      <c r="G2" s="100" t="s">
        <v>155</v>
      </c>
      <c r="H2" s="100" t="s">
        <v>588</v>
      </c>
      <c r="I2" s="100" t="s">
        <v>622</v>
      </c>
      <c r="J2" s="100" t="s">
        <v>629</v>
      </c>
      <c r="K2" s="100" t="s">
        <v>669</v>
      </c>
      <c r="L2" s="100" t="s">
        <v>673</v>
      </c>
      <c r="M2" s="100" t="s">
        <v>684</v>
      </c>
    </row>
    <row r="3" spans="1:13" ht="15" customHeight="1">
      <c r="A3" s="372" t="s">
        <v>317</v>
      </c>
      <c r="B3" s="372" t="s">
        <v>318</v>
      </c>
      <c r="C3" s="365">
        <f t="shared" ref="C3:I3" si="0">SUM(C4:C7)</f>
        <v>0</v>
      </c>
      <c r="D3" s="365">
        <f t="shared" si="0"/>
        <v>-67</v>
      </c>
      <c r="E3" s="365">
        <f t="shared" si="0"/>
        <v>-4</v>
      </c>
      <c r="F3" s="365">
        <f t="shared" si="0"/>
        <v>5</v>
      </c>
      <c r="G3" s="365">
        <f t="shared" si="0"/>
        <v>0</v>
      </c>
      <c r="H3" s="365">
        <f t="shared" si="0"/>
        <v>-2</v>
      </c>
      <c r="I3" s="365">
        <f t="shared" si="0"/>
        <v>-1</v>
      </c>
      <c r="J3" s="365">
        <f>SUM(J4:J7)</f>
        <v>-25</v>
      </c>
      <c r="K3" s="365">
        <f>SUM(K4:K7)</f>
        <v>-4</v>
      </c>
      <c r="L3" s="365">
        <f>SUM(L4:L7)</f>
        <v>-3</v>
      </c>
      <c r="M3" s="365">
        <f>SUM(M4:M7)</f>
        <v>3</v>
      </c>
    </row>
    <row r="4" spans="1:13" ht="15" customHeight="1">
      <c r="A4" s="369" t="s">
        <v>331</v>
      </c>
      <c r="B4" s="369" t="s">
        <v>325</v>
      </c>
      <c r="C4" s="366">
        <v>0</v>
      </c>
      <c r="D4" s="366">
        <v>-67</v>
      </c>
      <c r="E4" s="366">
        <v>-4</v>
      </c>
      <c r="F4" s="366">
        <v>5</v>
      </c>
      <c r="G4" s="366">
        <v>0</v>
      </c>
      <c r="H4" s="366">
        <v>-2</v>
      </c>
      <c r="I4" s="366">
        <v>-1</v>
      </c>
      <c r="J4" s="366">
        <v>-25</v>
      </c>
      <c r="K4" s="366">
        <v>-4</v>
      </c>
      <c r="L4" s="366">
        <v>-3</v>
      </c>
      <c r="M4" s="366">
        <v>3</v>
      </c>
    </row>
    <row r="5" spans="1:13" ht="15" customHeight="1">
      <c r="A5" s="369" t="s">
        <v>332</v>
      </c>
      <c r="B5" s="369" t="s">
        <v>326</v>
      </c>
      <c r="C5" s="366">
        <v>0</v>
      </c>
      <c r="D5" s="366">
        <v>0</v>
      </c>
      <c r="E5" s="366">
        <v>0</v>
      </c>
      <c r="F5" s="366">
        <v>0</v>
      </c>
      <c r="G5" s="366">
        <v>0</v>
      </c>
      <c r="H5" s="366">
        <v>0</v>
      </c>
      <c r="I5" s="366">
        <v>0</v>
      </c>
      <c r="J5" s="366">
        <v>0</v>
      </c>
      <c r="K5" s="366">
        <v>0</v>
      </c>
      <c r="L5" s="366">
        <v>0</v>
      </c>
      <c r="M5" s="366">
        <v>0</v>
      </c>
    </row>
    <row r="6" spans="1:13" ht="15" customHeight="1">
      <c r="A6" s="369" t="s">
        <v>333</v>
      </c>
      <c r="B6" s="369" t="s">
        <v>327</v>
      </c>
      <c r="C6" s="366">
        <v>0</v>
      </c>
      <c r="D6" s="366">
        <v>0</v>
      </c>
      <c r="E6" s="366">
        <v>0</v>
      </c>
      <c r="F6" s="366">
        <v>0</v>
      </c>
      <c r="G6" s="366">
        <v>0</v>
      </c>
      <c r="H6" s="366">
        <v>0</v>
      </c>
      <c r="I6" s="366">
        <v>0</v>
      </c>
      <c r="J6" s="366">
        <v>0</v>
      </c>
      <c r="K6" s="366">
        <v>0</v>
      </c>
      <c r="L6" s="366">
        <v>0</v>
      </c>
      <c r="M6" s="366">
        <v>0</v>
      </c>
    </row>
    <row r="7" spans="1:13" ht="15" customHeight="1">
      <c r="A7" s="369" t="s">
        <v>328</v>
      </c>
      <c r="B7" s="369" t="s">
        <v>328</v>
      </c>
      <c r="C7" s="366">
        <v>0</v>
      </c>
      <c r="D7" s="366">
        <v>0</v>
      </c>
      <c r="E7" s="366">
        <v>0</v>
      </c>
      <c r="F7" s="366">
        <v>0</v>
      </c>
      <c r="G7" s="366">
        <v>0</v>
      </c>
      <c r="H7" s="366">
        <v>0</v>
      </c>
      <c r="I7" s="366">
        <v>0</v>
      </c>
      <c r="J7" s="366">
        <v>0</v>
      </c>
      <c r="K7" s="366">
        <v>0</v>
      </c>
      <c r="L7" s="366">
        <v>0</v>
      </c>
      <c r="M7" s="366">
        <v>0</v>
      </c>
    </row>
    <row r="8" spans="1:13" ht="15" customHeight="1">
      <c r="A8" s="372" t="s">
        <v>319</v>
      </c>
      <c r="B8" s="372" t="s">
        <v>322</v>
      </c>
      <c r="C8" s="365">
        <f t="shared" ref="C8:I8" si="1">SUM(C9:C12)</f>
        <v>-218758</v>
      </c>
      <c r="D8" s="365">
        <f t="shared" si="1"/>
        <v>-260620</v>
      </c>
      <c r="E8" s="365">
        <f t="shared" si="1"/>
        <v>-244398</v>
      </c>
      <c r="F8" s="365">
        <f t="shared" si="1"/>
        <v>-365996</v>
      </c>
      <c r="G8" s="365">
        <f t="shared" si="1"/>
        <v>-280118</v>
      </c>
      <c r="H8" s="365">
        <f t="shared" si="1"/>
        <v>-366957</v>
      </c>
      <c r="I8" s="365">
        <f t="shared" si="1"/>
        <v>-323350</v>
      </c>
      <c r="J8" s="365">
        <f>SUM(J9:J12)</f>
        <v>-258576</v>
      </c>
      <c r="K8" s="365">
        <f>SUM(K9:K12)</f>
        <v>-489635</v>
      </c>
      <c r="L8" s="365">
        <f>SUM(L9:L12)</f>
        <v>-470681</v>
      </c>
      <c r="M8" s="365">
        <f>SUM(M9:M12)</f>
        <v>-350509</v>
      </c>
    </row>
    <row r="9" spans="1:13" s="105" customFormat="1" ht="15" customHeight="1">
      <c r="A9" s="369" t="s">
        <v>331</v>
      </c>
      <c r="B9" s="369" t="s">
        <v>325</v>
      </c>
      <c r="C9" s="366">
        <v>-18993</v>
      </c>
      <c r="D9" s="366">
        <v>-24151</v>
      </c>
      <c r="E9" s="366">
        <v>-38221</v>
      </c>
      <c r="F9" s="366">
        <v>-136336</v>
      </c>
      <c r="G9" s="366">
        <v>-16561</v>
      </c>
      <c r="H9" s="366">
        <v>-30145</v>
      </c>
      <c r="I9" s="366">
        <v>-44965</v>
      </c>
      <c r="J9" s="366">
        <v>-1695</v>
      </c>
      <c r="K9" s="366">
        <v>-12044</v>
      </c>
      <c r="L9" s="366">
        <v>-43979</v>
      </c>
      <c r="M9" s="366">
        <v>513</v>
      </c>
    </row>
    <row r="10" spans="1:13" s="105" customFormat="1" ht="15" customHeight="1">
      <c r="A10" s="369" t="s">
        <v>332</v>
      </c>
      <c r="B10" s="369" t="s">
        <v>326</v>
      </c>
      <c r="C10" s="366">
        <v>-60657</v>
      </c>
      <c r="D10" s="366">
        <v>-77190</v>
      </c>
      <c r="E10" s="366">
        <v>-91894</v>
      </c>
      <c r="F10" s="366">
        <v>-77906</v>
      </c>
      <c r="G10" s="366">
        <v>-47557</v>
      </c>
      <c r="H10" s="366">
        <v>-199036</v>
      </c>
      <c r="I10" s="366">
        <v>-125026</v>
      </c>
      <c r="J10" s="366">
        <v>-64382</v>
      </c>
      <c r="K10" s="366">
        <v>-260944</v>
      </c>
      <c r="L10" s="366">
        <v>-203816</v>
      </c>
      <c r="M10" s="366">
        <v>-97955</v>
      </c>
    </row>
    <row r="11" spans="1:13" s="105" customFormat="1" ht="15" customHeight="1">
      <c r="A11" s="369" t="s">
        <v>333</v>
      </c>
      <c r="B11" s="369" t="s">
        <v>327</v>
      </c>
      <c r="C11" s="366">
        <v>-148670</v>
      </c>
      <c r="D11" s="366">
        <v>-168756</v>
      </c>
      <c r="E11" s="366">
        <v>-161983</v>
      </c>
      <c r="F11" s="366">
        <f>-145686+1</f>
        <v>-145685</v>
      </c>
      <c r="G11" s="366">
        <v>-244530</v>
      </c>
      <c r="H11" s="366">
        <v>-148221</v>
      </c>
      <c r="I11" s="366">
        <v>-174146</v>
      </c>
      <c r="J11" s="366">
        <v>-205934</v>
      </c>
      <c r="K11" s="366">
        <v>-218512</v>
      </c>
      <c r="L11" s="366">
        <v>-226088</v>
      </c>
      <c r="M11" s="366">
        <v>-256963</v>
      </c>
    </row>
    <row r="12" spans="1:13" s="105" customFormat="1" ht="15" customHeight="1">
      <c r="A12" s="369" t="s">
        <v>328</v>
      </c>
      <c r="B12" s="369" t="s">
        <v>328</v>
      </c>
      <c r="C12" s="366">
        <v>9562</v>
      </c>
      <c r="D12" s="366">
        <v>9477</v>
      </c>
      <c r="E12" s="366">
        <v>47700</v>
      </c>
      <c r="F12" s="366">
        <v>-6069</v>
      </c>
      <c r="G12" s="366">
        <v>28530</v>
      </c>
      <c r="H12" s="366">
        <v>10445</v>
      </c>
      <c r="I12" s="366">
        <v>20787</v>
      </c>
      <c r="J12" s="366">
        <v>13435</v>
      </c>
      <c r="K12" s="366">
        <v>1865</v>
      </c>
      <c r="L12" s="366">
        <v>3202</v>
      </c>
      <c r="M12" s="366">
        <v>3896</v>
      </c>
    </row>
    <row r="13" spans="1:13" ht="15" customHeight="1">
      <c r="A13" s="372" t="s">
        <v>320</v>
      </c>
      <c r="B13" s="372" t="s">
        <v>323</v>
      </c>
      <c r="C13" s="365">
        <f t="shared" ref="C13:I13" si="2">SUM(C14:C17)</f>
        <v>17680</v>
      </c>
      <c r="D13" s="365">
        <f t="shared" si="2"/>
        <v>-1272</v>
      </c>
      <c r="E13" s="365">
        <f t="shared" si="2"/>
        <v>-7722</v>
      </c>
      <c r="F13" s="365">
        <f t="shared" si="2"/>
        <v>3203</v>
      </c>
      <c r="G13" s="365">
        <f t="shared" si="2"/>
        <v>7442</v>
      </c>
      <c r="H13" s="365">
        <f t="shared" si="2"/>
        <v>-5847</v>
      </c>
      <c r="I13" s="365">
        <f t="shared" si="2"/>
        <v>-12115</v>
      </c>
      <c r="J13" s="365">
        <f>SUM(J14:J17)</f>
        <v>5347</v>
      </c>
      <c r="K13" s="365">
        <f>SUM(K14:K17)</f>
        <v>18572</v>
      </c>
      <c r="L13" s="365">
        <f>SUM(L14:L17)</f>
        <v>-11486</v>
      </c>
      <c r="M13" s="365">
        <f>SUM(M14:M17)</f>
        <v>-9680</v>
      </c>
    </row>
    <row r="14" spans="1:13" s="105" customFormat="1" ht="15" customHeight="1">
      <c r="A14" s="369" t="s">
        <v>331</v>
      </c>
      <c r="B14" s="369" t="s">
        <v>325</v>
      </c>
      <c r="C14" s="366">
        <v>0</v>
      </c>
      <c r="D14" s="366">
        <v>0</v>
      </c>
      <c r="E14" s="366">
        <v>0</v>
      </c>
      <c r="F14" s="366">
        <v>0</v>
      </c>
      <c r="G14" s="366">
        <v>0</v>
      </c>
      <c r="H14" s="366">
        <v>0</v>
      </c>
      <c r="I14" s="366">
        <v>0</v>
      </c>
      <c r="J14" s="366">
        <v>0</v>
      </c>
      <c r="K14" s="366">
        <v>0</v>
      </c>
      <c r="L14" s="366">
        <v>0</v>
      </c>
      <c r="M14" s="366">
        <v>0</v>
      </c>
    </row>
    <row r="15" spans="1:13" s="105" customFormat="1" ht="15" customHeight="1">
      <c r="A15" s="369" t="s">
        <v>332</v>
      </c>
      <c r="B15" s="369" t="s">
        <v>326</v>
      </c>
      <c r="C15" s="366">
        <v>0</v>
      </c>
      <c r="D15" s="366">
        <v>0</v>
      </c>
      <c r="E15" s="366">
        <v>0</v>
      </c>
      <c r="F15" s="366">
        <v>0</v>
      </c>
      <c r="G15" s="366">
        <v>0</v>
      </c>
      <c r="H15" s="366">
        <v>0</v>
      </c>
      <c r="I15" s="366">
        <v>0</v>
      </c>
      <c r="J15" s="366">
        <v>0</v>
      </c>
      <c r="K15" s="366">
        <v>0</v>
      </c>
      <c r="L15" s="366">
        <v>0</v>
      </c>
      <c r="M15" s="366">
        <v>0</v>
      </c>
    </row>
    <row r="16" spans="1:13" s="105" customFormat="1" ht="15" customHeight="1">
      <c r="A16" s="369" t="s">
        <v>333</v>
      </c>
      <c r="B16" s="369" t="s">
        <v>327</v>
      </c>
      <c r="C16" s="366">
        <v>17680</v>
      </c>
      <c r="D16" s="366">
        <v>-1272</v>
      </c>
      <c r="E16" s="366">
        <v>-7722</v>
      </c>
      <c r="F16" s="366">
        <v>3203</v>
      </c>
      <c r="G16" s="366">
        <v>7442</v>
      </c>
      <c r="H16" s="366">
        <v>-5847</v>
      </c>
      <c r="I16" s="366">
        <v>-12115</v>
      </c>
      <c r="J16" s="366">
        <v>5347</v>
      </c>
      <c r="K16" s="366">
        <v>18572</v>
      </c>
      <c r="L16" s="366">
        <v>-11486</v>
      </c>
      <c r="M16" s="366">
        <v>-9680</v>
      </c>
    </row>
    <row r="17" spans="1:13" s="105" customFormat="1" ht="15" customHeight="1">
      <c r="A17" s="369" t="s">
        <v>328</v>
      </c>
      <c r="B17" s="369" t="s">
        <v>328</v>
      </c>
      <c r="C17" s="366">
        <v>0</v>
      </c>
      <c r="D17" s="366">
        <v>0</v>
      </c>
      <c r="E17" s="366">
        <v>0</v>
      </c>
      <c r="F17" s="366">
        <v>0</v>
      </c>
      <c r="G17" s="366">
        <v>0</v>
      </c>
      <c r="H17" s="366">
        <v>0</v>
      </c>
      <c r="I17" s="366">
        <v>0</v>
      </c>
      <c r="J17" s="366">
        <v>0</v>
      </c>
      <c r="K17" s="366">
        <v>0</v>
      </c>
      <c r="L17" s="366">
        <v>0</v>
      </c>
      <c r="M17" s="366">
        <v>0</v>
      </c>
    </row>
    <row r="18" spans="1:13" ht="15" customHeight="1">
      <c r="A18" s="373" t="s">
        <v>321</v>
      </c>
      <c r="B18" s="372" t="s">
        <v>324</v>
      </c>
      <c r="C18" s="365">
        <f t="shared" ref="C18:I18" si="3">SUM(C19:C22)</f>
        <v>-2286</v>
      </c>
      <c r="D18" s="365">
        <f t="shared" si="3"/>
        <v>4083</v>
      </c>
      <c r="E18" s="365">
        <f t="shared" si="3"/>
        <v>-1541</v>
      </c>
      <c r="F18" s="365">
        <f t="shared" si="3"/>
        <v>-7375</v>
      </c>
      <c r="G18" s="365">
        <f t="shared" si="3"/>
        <v>9988</v>
      </c>
      <c r="H18" s="365">
        <f t="shared" si="3"/>
        <v>16248</v>
      </c>
      <c r="I18" s="365">
        <f t="shared" si="3"/>
        <v>-1090</v>
      </c>
      <c r="J18" s="365">
        <f>SUM(J19:J22)</f>
        <v>-10297</v>
      </c>
      <c r="K18" s="365">
        <f>SUM(K19:K22)</f>
        <v>4767</v>
      </c>
      <c r="L18" s="365">
        <f>SUM(L19:L22)</f>
        <v>1251</v>
      </c>
      <c r="M18" s="365">
        <f>SUM(M19:M22)</f>
        <v>1288</v>
      </c>
    </row>
    <row r="19" spans="1:13" s="105" customFormat="1" ht="15" customHeight="1">
      <c r="A19" s="369" t="s">
        <v>331</v>
      </c>
      <c r="B19" s="369" t="s">
        <v>325</v>
      </c>
      <c r="C19" s="366">
        <v>-2540</v>
      </c>
      <c r="D19" s="366">
        <v>1976</v>
      </c>
      <c r="E19" s="366">
        <v>1293</v>
      </c>
      <c r="F19" s="366">
        <v>-5753</v>
      </c>
      <c r="G19" s="366">
        <v>2495</v>
      </c>
      <c r="H19" s="366">
        <v>13299</v>
      </c>
      <c r="I19" s="366">
        <v>1365</v>
      </c>
      <c r="J19" s="366">
        <v>-2513</v>
      </c>
      <c r="K19" s="366">
        <v>8017</v>
      </c>
      <c r="L19" s="366">
        <v>-4388</v>
      </c>
      <c r="M19" s="366">
        <v>1227</v>
      </c>
    </row>
    <row r="20" spans="1:13" s="105" customFormat="1" ht="15" customHeight="1">
      <c r="A20" s="369" t="s">
        <v>332</v>
      </c>
      <c r="B20" s="369" t="s">
        <v>326</v>
      </c>
      <c r="C20" s="366">
        <v>2111</v>
      </c>
      <c r="D20" s="366">
        <v>3344</v>
      </c>
      <c r="E20" s="366">
        <v>1988</v>
      </c>
      <c r="F20" s="366">
        <v>-2958</v>
      </c>
      <c r="G20" s="366">
        <v>2942</v>
      </c>
      <c r="H20" s="366">
        <v>388</v>
      </c>
      <c r="I20" s="366">
        <v>-670</v>
      </c>
      <c r="J20" s="366">
        <v>164</v>
      </c>
      <c r="K20" s="366">
        <v>1127</v>
      </c>
      <c r="L20" s="366">
        <v>-4865</v>
      </c>
      <c r="M20" s="366">
        <v>1522</v>
      </c>
    </row>
    <row r="21" spans="1:13" s="105" customFormat="1" ht="15" customHeight="1">
      <c r="A21" s="369" t="s">
        <v>333</v>
      </c>
      <c r="B21" s="369" t="s">
        <v>327</v>
      </c>
      <c r="C21" s="366">
        <v>-1857</v>
      </c>
      <c r="D21" s="366">
        <v>-1237</v>
      </c>
      <c r="E21" s="366">
        <v>-4822</v>
      </c>
      <c r="F21" s="366">
        <v>1336</v>
      </c>
      <c r="G21" s="366">
        <v>4551</v>
      </c>
      <c r="H21" s="366">
        <v>2561</v>
      </c>
      <c r="I21" s="366">
        <v>-1785</v>
      </c>
      <c r="J21" s="366">
        <v>-7948</v>
      </c>
      <c r="K21" s="366">
        <v>-4377</v>
      </c>
      <c r="L21" s="366">
        <v>10504</v>
      </c>
      <c r="M21" s="366">
        <v>-1461</v>
      </c>
    </row>
    <row r="22" spans="1:13" s="105" customFormat="1" ht="15" customHeight="1">
      <c r="A22" s="370" t="s">
        <v>328</v>
      </c>
      <c r="B22" s="370" t="s">
        <v>328</v>
      </c>
      <c r="C22" s="367">
        <v>0</v>
      </c>
      <c r="D22" s="367">
        <v>0</v>
      </c>
      <c r="E22" s="366">
        <v>0</v>
      </c>
      <c r="F22" s="366">
        <v>0</v>
      </c>
      <c r="G22" s="367">
        <v>0</v>
      </c>
      <c r="H22" s="367">
        <v>0</v>
      </c>
      <c r="I22" s="367">
        <v>0</v>
      </c>
      <c r="J22" s="366">
        <v>0</v>
      </c>
      <c r="K22" s="366">
        <v>0</v>
      </c>
      <c r="L22" s="366">
        <v>0</v>
      </c>
      <c r="M22" s="366">
        <v>0</v>
      </c>
    </row>
    <row r="23" spans="1:13" s="111" customFormat="1" ht="15" customHeight="1">
      <c r="A23" s="371" t="s">
        <v>58</v>
      </c>
      <c r="B23" s="371" t="s">
        <v>43</v>
      </c>
      <c r="C23" s="368">
        <f t="shared" ref="C23:K23" si="4">SUM(C3,C8,C13,C18)</f>
        <v>-203364</v>
      </c>
      <c r="D23" s="368">
        <f t="shared" si="4"/>
        <v>-257876</v>
      </c>
      <c r="E23" s="368">
        <f t="shared" si="4"/>
        <v>-253665</v>
      </c>
      <c r="F23" s="368">
        <f t="shared" si="4"/>
        <v>-370163</v>
      </c>
      <c r="G23" s="368">
        <f t="shared" si="4"/>
        <v>-262688</v>
      </c>
      <c r="H23" s="368">
        <f t="shared" si="4"/>
        <v>-356558</v>
      </c>
      <c r="I23" s="368">
        <f t="shared" si="4"/>
        <v>-336556</v>
      </c>
      <c r="J23" s="368">
        <f t="shared" si="4"/>
        <v>-263551</v>
      </c>
      <c r="K23" s="368">
        <f t="shared" si="4"/>
        <v>-466300</v>
      </c>
      <c r="L23" s="368">
        <f t="shared" ref="L23:M23" si="5">SUM(L3,L8,L13,L18)</f>
        <v>-480919</v>
      </c>
      <c r="M23" s="368">
        <f t="shared" si="5"/>
        <v>-358898</v>
      </c>
    </row>
    <row r="24" spans="1:13" s="294" customFormat="1">
      <c r="C24" s="291">
        <f>'P&amp;L'!G17-C23</f>
        <v>0</v>
      </c>
      <c r="D24" s="291">
        <f>'P&amp;L'!H17-D23</f>
        <v>0</v>
      </c>
      <c r="E24" s="291">
        <f>'P&amp;L'!I17-E23</f>
        <v>0</v>
      </c>
      <c r="F24" s="291"/>
      <c r="G24" s="291">
        <f>'P&amp;L'!K17-G23</f>
        <v>0</v>
      </c>
      <c r="H24" s="291">
        <f>'P&amp;L'!L17-H23</f>
        <v>0</v>
      </c>
      <c r="I24" s="291">
        <f>'P&amp;L'!M17-I23</f>
        <v>0</v>
      </c>
      <c r="J24" s="291">
        <f>'P&amp;L'!N17-J23</f>
        <v>0</v>
      </c>
      <c r="K24" s="291">
        <f>'P&amp;L'!O17-K23</f>
        <v>0</v>
      </c>
      <c r="L24" s="291">
        <f>'P&amp;L'!P17-L23</f>
        <v>0</v>
      </c>
      <c r="M24" s="291"/>
    </row>
  </sheetData>
  <customSheetViews>
    <customSheetView guid="{746490BF-9C44-4B41-8803-BEC9E453576A}">
      <pane xSplit="2" ySplit="2" topLeftCell="C3" activePane="bottomRight" state="frozen"/>
      <selection pane="bottomRight" activeCell="C3" sqref="C3"/>
      <pageMargins left="0.7" right="0.7" top="0.75" bottom="0.75" header="0.3" footer="0.3"/>
    </customSheetView>
    <customSheetView guid="{9AF4A83C-CF57-4B40-8A74-6A0EA6C2FE5C}">
      <selection activeCell="G27" sqref="G27"/>
      <pageMargins left="0.7" right="0.7" top="0.75" bottom="0.75" header="0.3" footer="0.3"/>
    </customSheetView>
    <customSheetView guid="{899D69CD-4B7E-42BC-9944-5BD922EB798C}" topLeftCell="C7">
      <selection activeCell="M9" sqref="M9"/>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8DA78CF1-615A-4626-9893-6751995631A4}" topLeftCell="B1">
      <selection activeCell="M9" sqref="M9"/>
      <pageMargins left="0.7" right="0.7" top="0.75" bottom="0.75" header="0.3" footer="0.3"/>
      <pageSetup paperSize="9" orientation="portrait" horizontalDpi="1200" verticalDpi="1200" r:id="rId3"/>
    </customSheetView>
    <customSheetView guid="{57267270-6A97-4850-9DB6-FE6B399379AA}">
      <selection activeCell="D10" sqref="D10"/>
      <pageMargins left="0.7" right="0.7" top="0.75" bottom="0.75" header="0.3" footer="0.3"/>
    </customSheetView>
    <customSheetView guid="{687A4863-1825-4D63-B732-E76682E6DE4F}">
      <selection activeCell="H24" sqref="H24"/>
      <pageMargins left="0.7" right="0.7" top="0.75" bottom="0.75" header="0.3" footer="0.3"/>
    </customSheetView>
    <customSheetView guid="{12F8D032-8143-430B-8DFF-852E8796C402}">
      <selection activeCell="H24" sqref="H24"/>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5"/>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2" width="50.85546875" customWidth="1"/>
    <col min="3" max="10" width="13.42578125" customWidth="1"/>
    <col min="11" max="11" width="13.42578125" style="193" customWidth="1"/>
    <col min="12" max="13" width="13.42578125" customWidth="1"/>
    <col min="14" max="17" width="13.42578125" style="193" customWidth="1"/>
  </cols>
  <sheetData>
    <row r="2" spans="1:17"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c r="Q2" s="199">
        <v>44104</v>
      </c>
    </row>
    <row r="3" spans="1:17" s="2" customFormat="1" ht="15" customHeight="1">
      <c r="A3" s="47" t="s">
        <v>290</v>
      </c>
      <c r="B3" s="47" t="s">
        <v>180</v>
      </c>
      <c r="C3" s="203">
        <f t="shared" ref="C3:K3" si="0">SUM(C4:C6)</f>
        <v>64290407</v>
      </c>
      <c r="D3" s="203">
        <f t="shared" si="0"/>
        <v>64704439</v>
      </c>
      <c r="E3" s="203">
        <f t="shared" si="0"/>
        <v>64467644</v>
      </c>
      <c r="F3" s="203">
        <f t="shared" si="0"/>
        <v>64987719</v>
      </c>
      <c r="G3" s="203">
        <f t="shared" si="0"/>
        <v>66073674</v>
      </c>
      <c r="H3" s="203">
        <f t="shared" si="0"/>
        <v>70021925</v>
      </c>
      <c r="I3" s="203">
        <f t="shared" si="0"/>
        <v>72689830</v>
      </c>
      <c r="J3" s="203">
        <f t="shared" si="0"/>
        <v>88211366</v>
      </c>
      <c r="K3" s="204">
        <f t="shared" si="0"/>
        <v>89183307</v>
      </c>
      <c r="L3" s="204">
        <f>SUM(L4:L6)</f>
        <v>90496886</v>
      </c>
      <c r="M3" s="204">
        <f>SUM(M4:M6)</f>
        <v>90362151</v>
      </c>
      <c r="N3" s="204">
        <f>N4+N5+N6</f>
        <v>91716261</v>
      </c>
      <c r="O3" s="204">
        <f t="shared" ref="O3:Q3" si="1">O4+O5+O6</f>
        <v>95861240</v>
      </c>
      <c r="P3" s="204">
        <f t="shared" si="1"/>
        <v>96477026</v>
      </c>
      <c r="Q3" s="204">
        <f t="shared" si="1"/>
        <v>96204771</v>
      </c>
    </row>
    <row r="4" spans="1:17" ht="15" customHeight="1">
      <c r="A4" s="66" t="s">
        <v>291</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c r="Q4" s="201">
        <v>21218059</v>
      </c>
    </row>
    <row r="5" spans="1:17" ht="15" customHeight="1">
      <c r="A5" s="66" t="s">
        <v>292</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c r="Q5" s="201">
        <v>74734896</v>
      </c>
    </row>
    <row r="6" spans="1:17" ht="15" customHeight="1">
      <c r="A6" s="66" t="s">
        <v>242</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c r="Q6" s="201">
        <v>251816</v>
      </c>
    </row>
    <row r="7" spans="1:17" ht="15" customHeight="1">
      <c r="A7" s="65" t="s">
        <v>293</v>
      </c>
      <c r="B7" s="65" t="s">
        <v>185</v>
      </c>
      <c r="C7" s="69">
        <f t="shared" ref="C7:M7" si="2">C8+C9+C10+C11+C12</f>
        <v>40057684</v>
      </c>
      <c r="D7" s="69">
        <f t="shared" si="2"/>
        <v>39623549</v>
      </c>
      <c r="E7" s="69">
        <f t="shared" si="2"/>
        <v>41377787</v>
      </c>
      <c r="F7" s="69">
        <f t="shared" si="2"/>
        <v>42170092</v>
      </c>
      <c r="G7" s="69">
        <f t="shared" si="2"/>
        <v>42883938</v>
      </c>
      <c r="H7" s="69">
        <f t="shared" si="2"/>
        <v>46928557</v>
      </c>
      <c r="I7" s="69">
        <f t="shared" si="2"/>
        <v>47487051</v>
      </c>
      <c r="J7" s="69">
        <f t="shared" si="2"/>
        <v>57493542</v>
      </c>
      <c r="K7" s="200">
        <f t="shared" si="2"/>
        <v>54023921</v>
      </c>
      <c r="L7" s="200">
        <f t="shared" si="2"/>
        <v>54682108</v>
      </c>
      <c r="M7" s="200">
        <f t="shared" si="2"/>
        <v>55600095</v>
      </c>
      <c r="N7" s="200">
        <f>N8+N9+N10+N12</f>
        <v>60281335</v>
      </c>
      <c r="O7" s="200">
        <f t="shared" ref="O7:Q7" si="3">O8+O9+O10+O12</f>
        <v>57701617</v>
      </c>
      <c r="P7" s="200">
        <f t="shared" si="3"/>
        <v>64697579</v>
      </c>
      <c r="Q7" s="200">
        <f t="shared" si="3"/>
        <v>65273187</v>
      </c>
    </row>
    <row r="8" spans="1:17" ht="15" customHeight="1">
      <c r="A8" s="66" t="s">
        <v>292</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c r="Q8" s="201">
        <v>49450871</v>
      </c>
    </row>
    <row r="9" spans="1:17" ht="15" customHeight="1">
      <c r="A9" s="66" t="s">
        <v>291</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c r="Q9" s="201">
        <v>11443284</v>
      </c>
    </row>
    <row r="10" spans="1:17" ht="15" customHeight="1">
      <c r="A10" s="66" t="s">
        <v>294</v>
      </c>
      <c r="B10" s="66" t="s">
        <v>186</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c r="Q10" s="201">
        <v>3186110</v>
      </c>
    </row>
    <row r="11" spans="1:17" ht="15" customHeight="1">
      <c r="A11" s="66" t="s">
        <v>295</v>
      </c>
      <c r="B11" s="66" t="s">
        <v>183</v>
      </c>
      <c r="C11" s="70">
        <v>0</v>
      </c>
      <c r="D11" s="70">
        <v>0</v>
      </c>
      <c r="E11" s="70">
        <v>0</v>
      </c>
      <c r="F11" s="70">
        <v>0</v>
      </c>
      <c r="G11" s="70">
        <v>0</v>
      </c>
      <c r="H11" s="70">
        <v>0</v>
      </c>
      <c r="I11" s="70">
        <v>0</v>
      </c>
      <c r="J11" s="70">
        <v>0</v>
      </c>
      <c r="K11" s="201">
        <v>0</v>
      </c>
      <c r="L11" s="201">
        <v>0</v>
      </c>
      <c r="M11" s="201">
        <v>0</v>
      </c>
      <c r="N11" s="201">
        <v>0</v>
      </c>
      <c r="O11" s="201">
        <v>0</v>
      </c>
      <c r="P11" s="201">
        <v>0</v>
      </c>
      <c r="Q11" s="201">
        <v>0</v>
      </c>
    </row>
    <row r="12" spans="1:17" ht="15" customHeight="1">
      <c r="A12" s="66" t="s">
        <v>242</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c r="Q12" s="201">
        <v>1192922</v>
      </c>
    </row>
    <row r="13" spans="1:17" ht="15" customHeight="1">
      <c r="A13" s="65" t="s">
        <v>296</v>
      </c>
      <c r="B13" s="65" t="s">
        <v>187</v>
      </c>
      <c r="C13" s="69">
        <f t="shared" ref="C13:M13" si="4">SUM(C14:C16)</f>
        <v>4104350</v>
      </c>
      <c r="D13" s="69">
        <f t="shared" si="4"/>
        <v>4783171</v>
      </c>
      <c r="E13" s="69">
        <f t="shared" si="4"/>
        <v>5177348</v>
      </c>
      <c r="F13" s="69">
        <f t="shared" si="4"/>
        <v>4323324</v>
      </c>
      <c r="G13" s="69">
        <f t="shared" si="4"/>
        <v>4618970</v>
      </c>
      <c r="H13" s="69">
        <f t="shared" si="4"/>
        <v>5073833</v>
      </c>
      <c r="I13" s="69">
        <f t="shared" si="4"/>
        <v>4452307</v>
      </c>
      <c r="J13" s="69">
        <f t="shared" si="4"/>
        <v>3911750</v>
      </c>
      <c r="K13" s="200">
        <f t="shared" si="4"/>
        <v>4538626</v>
      </c>
      <c r="L13" s="200">
        <f t="shared" si="4"/>
        <v>4496454</v>
      </c>
      <c r="M13" s="200">
        <f t="shared" si="4"/>
        <v>5064431</v>
      </c>
      <c r="N13" s="200">
        <f>N14+N15+N16</f>
        <v>4482747</v>
      </c>
      <c r="O13" s="200">
        <f t="shared" ref="O13:Q13" si="5">O14+O15+O16</f>
        <v>4193922</v>
      </c>
      <c r="P13" s="200">
        <f t="shared" si="5"/>
        <v>4714942</v>
      </c>
      <c r="Q13" s="200">
        <f t="shared" si="5"/>
        <v>5248446</v>
      </c>
    </row>
    <row r="14" spans="1:17" ht="15" customHeight="1">
      <c r="A14" s="66" t="s">
        <v>292</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c r="Q14" s="201">
        <v>4137611</v>
      </c>
    </row>
    <row r="15" spans="1:17" ht="15" customHeight="1">
      <c r="A15" s="66" t="s">
        <v>291</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c r="Q15" s="201">
        <v>1110789</v>
      </c>
    </row>
    <row r="16" spans="1:17" ht="15" customHeight="1">
      <c r="A16" s="66" t="s">
        <v>242</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c r="Q16" s="201">
        <f>47-1</f>
        <v>46</v>
      </c>
    </row>
    <row r="17" spans="1:17" ht="15" customHeight="1">
      <c r="A17" s="67" t="s">
        <v>58</v>
      </c>
      <c r="B17" s="67" t="s">
        <v>188</v>
      </c>
      <c r="C17" s="68">
        <f t="shared" ref="C17:M17" si="6">C3+C7+C13</f>
        <v>108452441</v>
      </c>
      <c r="D17" s="68">
        <f t="shared" si="6"/>
        <v>109111159</v>
      </c>
      <c r="E17" s="68">
        <f t="shared" si="6"/>
        <v>111022779</v>
      </c>
      <c r="F17" s="68">
        <f t="shared" si="6"/>
        <v>111481135</v>
      </c>
      <c r="G17" s="68">
        <f t="shared" si="6"/>
        <v>113576582</v>
      </c>
      <c r="H17" s="68">
        <f t="shared" si="6"/>
        <v>122024315</v>
      </c>
      <c r="I17" s="68">
        <f t="shared" si="6"/>
        <v>124629188</v>
      </c>
      <c r="J17" s="68">
        <f t="shared" si="6"/>
        <v>149616658</v>
      </c>
      <c r="K17" s="202">
        <f t="shared" si="6"/>
        <v>147745854</v>
      </c>
      <c r="L17" s="202">
        <f t="shared" si="6"/>
        <v>149675448</v>
      </c>
      <c r="M17" s="202">
        <f t="shared" si="6"/>
        <v>151026677</v>
      </c>
      <c r="N17" s="202">
        <f>N13+N7+N3</f>
        <v>156480343</v>
      </c>
      <c r="O17" s="202">
        <f t="shared" ref="O17:P17" si="7">O13+O7+O3</f>
        <v>157756779</v>
      </c>
      <c r="P17" s="202">
        <f t="shared" si="7"/>
        <v>165889547</v>
      </c>
      <c r="Q17" s="202">
        <f t="shared" ref="Q17" si="8">Q13+Q7+Q3</f>
        <v>166726404</v>
      </c>
    </row>
    <row r="19" spans="1:17">
      <c r="B19" s="279"/>
      <c r="C19" s="277"/>
      <c r="D19" s="277"/>
      <c r="E19" s="277"/>
      <c r="F19" s="277"/>
      <c r="G19" s="277"/>
      <c r="H19" s="277"/>
      <c r="I19" s="277"/>
      <c r="J19" s="277"/>
      <c r="K19" s="277"/>
      <c r="L19" s="277"/>
      <c r="N19" s="312"/>
      <c r="O19" s="312"/>
      <c r="P19" s="312"/>
      <c r="Q19" s="312"/>
    </row>
    <row r="20" spans="1:17">
      <c r="C20" s="278"/>
      <c r="D20" s="278"/>
      <c r="E20" s="278"/>
      <c r="F20" s="278"/>
      <c r="G20" s="278"/>
      <c r="H20" s="278"/>
      <c r="I20" s="278"/>
      <c r="J20" s="278"/>
      <c r="K20" s="278"/>
      <c r="L20" s="278"/>
      <c r="N20" s="313"/>
      <c r="O20" s="313"/>
      <c r="P20" s="313"/>
      <c r="Q20" s="313"/>
    </row>
    <row r="21" spans="1:17" s="3" customFormat="1">
      <c r="K21" s="193"/>
      <c r="N21" s="193"/>
      <c r="O21" s="193"/>
      <c r="P21" s="193"/>
      <c r="Q21" s="193"/>
    </row>
    <row r="23" spans="1:17">
      <c r="N23" s="313"/>
      <c r="O23" s="313"/>
      <c r="P23" s="313"/>
      <c r="Q23" s="313"/>
    </row>
    <row r="24" spans="1:17" s="3" customFormat="1">
      <c r="K24" s="193"/>
      <c r="N24" s="313"/>
      <c r="O24" s="313"/>
      <c r="P24" s="313"/>
      <c r="Q24" s="313"/>
    </row>
    <row r="25" spans="1:17" s="3" customFormat="1">
      <c r="K25" s="193"/>
      <c r="N25" s="313"/>
      <c r="O25" s="313"/>
      <c r="P25" s="313"/>
      <c r="Q25" s="313"/>
    </row>
  </sheetData>
  <customSheetViews>
    <customSheetView guid="{746490BF-9C44-4B41-8803-BEC9E453576A}" showGridLines="0">
      <pane xSplit="2" ySplit="2" topLeftCell="C3" activePane="bottomRight" state="frozen"/>
      <selection pane="bottomRight" activeCell="C3" sqref="C3"/>
      <pageMargins left="0.7" right="0.7" top="0.75" bottom="0.75" header="0.3" footer="0.3"/>
      <pageSetup paperSize="9" orientation="portrait" r:id="rId1"/>
    </customSheetView>
    <customSheetView guid="{9AF4A83C-CF57-4B40-8A74-6A0EA6C2FE5C}" topLeftCell="C1">
      <selection activeCell="L26" sqref="L26"/>
      <pageMargins left="0.7" right="0.7" top="0.75" bottom="0.75" header="0.3" footer="0.3"/>
    </customSheetView>
    <customSheetView guid="{899D69CD-4B7E-42BC-9944-5BD922EB798C}" topLeftCell="E1">
      <selection activeCell="A25" sqref="A25"/>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8DA78CF1-615A-4626-9893-6751995631A4}" showGridLines="0" topLeftCell="G1">
      <selection activeCell="R8" sqref="R8"/>
      <pageMargins left="0.7" right="0.7" top="0.75" bottom="0.75" header="0.3" footer="0.3"/>
      <pageSetup paperSize="9" orientation="portrait" r:id="rId4"/>
    </customSheetView>
    <customSheetView guid="{57267270-6A97-4850-9DB6-FE6B399379AA}" topLeftCell="B1">
      <selection activeCell="O15" sqref="O15"/>
      <pageMargins left="0.7" right="0.7" top="0.75" bottom="0.75" header="0.3" footer="0.3"/>
    </customSheetView>
    <customSheetView guid="{687A4863-1825-4D63-B732-E76682E6DE4F}" showGridLines="0" topLeftCell="F1">
      <selection activeCell="Q8" sqref="Q8"/>
      <pageMargins left="0.7" right="0.7" top="0.75" bottom="0.75" header="0.3" footer="0.3"/>
      <pageSetup paperSize="9" orientation="portrait" r:id="rId5"/>
    </customSheetView>
    <customSheetView guid="{12F8D032-8143-430B-8DFF-852E8796C402}" showGridLines="0" topLeftCell="B1">
      <selection activeCell="G22" sqref="G22"/>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zoomScaleNormal="72" workbookViewId="0">
      <selection activeCell="C2" sqref="C2"/>
    </sheetView>
  </sheetViews>
  <sheetFormatPr defaultColWidth="9.140625" defaultRowHeight="12.75"/>
  <cols>
    <col min="1" max="2" width="30.85546875" style="98" customWidth="1"/>
    <col min="3" max="16" width="13.42578125" style="98" customWidth="1"/>
    <col min="17" max="17" width="11" style="158" customWidth="1"/>
    <col min="18"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c r="Q1" s="148">
        <v>44104</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2">
        <v>322868</v>
      </c>
      <c r="M2" s="282">
        <v>284342</v>
      </c>
      <c r="N2" s="282">
        <v>2115445</v>
      </c>
      <c r="O2" s="282">
        <f>1957501-1</f>
        <v>1957500</v>
      </c>
      <c r="P2" s="282">
        <v>1272904</v>
      </c>
      <c r="Q2" s="440">
        <v>334447</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2">
        <v>1988052</v>
      </c>
      <c r="M3" s="282">
        <v>2481925</v>
      </c>
      <c r="N3" s="282">
        <v>1601232</v>
      </c>
      <c r="O3" s="282">
        <v>3595029</v>
      </c>
      <c r="P3" s="282">
        <v>2714773</v>
      </c>
      <c r="Q3" s="440">
        <v>2636965</v>
      </c>
    </row>
    <row r="4" spans="1:18" s="1" customFormat="1" ht="15" customHeight="1">
      <c r="A4" s="152" t="s">
        <v>288</v>
      </c>
      <c r="B4" s="153" t="s">
        <v>178</v>
      </c>
      <c r="C4" s="154">
        <f>SUM(C2:C3)</f>
        <v>2618114</v>
      </c>
      <c r="D4" s="154">
        <f t="shared" ref="D4:L4" si="0">SUM(D2:D3)</f>
        <v>1870753</v>
      </c>
      <c r="E4" s="154">
        <f t="shared" si="0"/>
        <v>2179043</v>
      </c>
      <c r="F4" s="154">
        <f t="shared" si="0"/>
        <v>2136474</v>
      </c>
      <c r="G4" s="154">
        <f t="shared" si="0"/>
        <v>1810599</v>
      </c>
      <c r="H4" s="154">
        <f t="shared" si="0"/>
        <v>1704602</v>
      </c>
      <c r="I4" s="154">
        <f t="shared" si="0"/>
        <v>1744046</v>
      </c>
      <c r="J4" s="154">
        <f t="shared" si="0"/>
        <v>2936281</v>
      </c>
      <c r="K4" s="154">
        <f t="shared" si="0"/>
        <v>1700644</v>
      </c>
      <c r="L4" s="204">
        <f t="shared" si="0"/>
        <v>2310920</v>
      </c>
      <c r="M4" s="204">
        <f>SUM(M2:M3)</f>
        <v>2766267</v>
      </c>
      <c r="N4" s="204">
        <f>SUM(N2:N3)</f>
        <v>3716677</v>
      </c>
      <c r="O4" s="204">
        <f>SUM(O2:O3)</f>
        <v>5552529</v>
      </c>
      <c r="P4" s="204">
        <f>SUM(P2:P3)</f>
        <v>3987677</v>
      </c>
      <c r="Q4" s="441">
        <f>SUM(Q2:Q3)</f>
        <v>2971412</v>
      </c>
      <c r="R4" s="375"/>
    </row>
    <row r="5" spans="1:18" ht="15" customHeight="1">
      <c r="A5" s="149" t="s">
        <v>396</v>
      </c>
      <c r="B5" s="150" t="s">
        <v>399</v>
      </c>
      <c r="C5" s="151">
        <v>0</v>
      </c>
      <c r="D5" s="151">
        <v>0</v>
      </c>
      <c r="E5" s="151">
        <v>0</v>
      </c>
      <c r="F5" s="151">
        <v>0</v>
      </c>
      <c r="G5" s="151">
        <v>0</v>
      </c>
      <c r="H5" s="151">
        <v>-67</v>
      </c>
      <c r="I5" s="151">
        <v>-71</v>
      </c>
      <c r="J5" s="151">
        <v>-67</v>
      </c>
      <c r="K5" s="151">
        <v>-67</v>
      </c>
      <c r="L5" s="282">
        <v>-84</v>
      </c>
      <c r="M5" s="282">
        <v>-86</v>
      </c>
      <c r="N5" s="282">
        <v>-95</v>
      </c>
      <c r="O5" s="282">
        <v>-102</v>
      </c>
      <c r="P5" s="282">
        <v>-102</v>
      </c>
      <c r="Q5" s="440">
        <v>-100</v>
      </c>
    </row>
    <row r="6" spans="1:18" s="1" customFormat="1" ht="15" customHeight="1">
      <c r="A6" s="94" t="s">
        <v>58</v>
      </c>
      <c r="B6" s="94" t="s">
        <v>43</v>
      </c>
      <c r="C6" s="95">
        <f>SUM(C4:C5)</f>
        <v>2618114</v>
      </c>
      <c r="D6" s="95">
        <f t="shared" ref="D6:L6" si="1">SUM(D4:D5)</f>
        <v>1870753</v>
      </c>
      <c r="E6" s="95">
        <f t="shared" si="1"/>
        <v>2179043</v>
      </c>
      <c r="F6" s="95">
        <f t="shared" si="1"/>
        <v>2136474</v>
      </c>
      <c r="G6" s="95">
        <f t="shared" si="1"/>
        <v>1810599</v>
      </c>
      <c r="H6" s="95">
        <f t="shared" si="1"/>
        <v>1704535</v>
      </c>
      <c r="I6" s="95">
        <f t="shared" si="1"/>
        <v>1743975</v>
      </c>
      <c r="J6" s="95">
        <f t="shared" si="1"/>
        <v>2936214</v>
      </c>
      <c r="K6" s="95">
        <f t="shared" si="1"/>
        <v>1700577</v>
      </c>
      <c r="L6" s="51">
        <f t="shared" si="1"/>
        <v>2310836</v>
      </c>
      <c r="M6" s="51">
        <f>SUM(M4:M5)</f>
        <v>2766181</v>
      </c>
      <c r="N6" s="51">
        <f>SUM(N4:N5)</f>
        <v>3716582</v>
      </c>
      <c r="O6" s="51">
        <f>SUM(O4:O5)</f>
        <v>5552427</v>
      </c>
      <c r="P6" s="51">
        <f>SUM(P4:P5)</f>
        <v>3987575</v>
      </c>
      <c r="Q6" s="442">
        <f>SUM(Q4:Q5)</f>
        <v>2971312</v>
      </c>
      <c r="R6" s="424"/>
    </row>
    <row r="7" spans="1:18" s="158" customFormat="1" ht="15" customHeight="1">
      <c r="A7" s="155"/>
      <c r="B7" s="156"/>
      <c r="C7" s="157"/>
      <c r="D7" s="157"/>
      <c r="E7" s="157"/>
      <c r="F7" s="157"/>
      <c r="G7" s="157"/>
      <c r="H7" s="157"/>
      <c r="I7" s="157"/>
      <c r="J7" s="157"/>
      <c r="K7" s="157"/>
      <c r="L7" s="283"/>
      <c r="M7" s="283"/>
      <c r="N7" s="374"/>
      <c r="O7" s="374"/>
      <c r="P7" s="374"/>
      <c r="Q7" s="443"/>
    </row>
    <row r="8" spans="1:18" ht="15" customHeight="1" thickBot="1">
      <c r="A8" s="64" t="s">
        <v>73</v>
      </c>
      <c r="B8" s="64" t="s">
        <v>27</v>
      </c>
      <c r="C8" s="148">
        <f>C1</f>
        <v>42825</v>
      </c>
      <c r="D8" s="148">
        <f t="shared" ref="D8:L8" si="2">D1</f>
        <v>42916</v>
      </c>
      <c r="E8" s="148">
        <f t="shared" si="2"/>
        <v>43008</v>
      </c>
      <c r="F8" s="148">
        <f t="shared" si="2"/>
        <v>43100</v>
      </c>
      <c r="G8" s="148">
        <f t="shared" si="2"/>
        <v>43190</v>
      </c>
      <c r="H8" s="148">
        <f t="shared" si="2"/>
        <v>43281</v>
      </c>
      <c r="I8" s="148">
        <f t="shared" si="2"/>
        <v>43373</v>
      </c>
      <c r="J8" s="148">
        <f t="shared" si="2"/>
        <v>43465</v>
      </c>
      <c r="K8" s="148">
        <f t="shared" si="2"/>
        <v>43555</v>
      </c>
      <c r="L8" s="284">
        <f t="shared" si="2"/>
        <v>43646</v>
      </c>
      <c r="M8" s="284">
        <f>M1</f>
        <v>43738</v>
      </c>
      <c r="N8" s="284">
        <f>N1</f>
        <v>43830</v>
      </c>
      <c r="O8" s="284">
        <f>O1</f>
        <v>43921</v>
      </c>
      <c r="P8" s="284">
        <f>P1</f>
        <v>44012</v>
      </c>
      <c r="Q8" s="439">
        <f>Q1</f>
        <v>44104</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2">
        <v>459178</v>
      </c>
      <c r="M9" s="282">
        <v>422961</v>
      </c>
      <c r="N9" s="282">
        <v>468294</v>
      </c>
      <c r="O9" s="282">
        <v>738535</v>
      </c>
      <c r="P9" s="282">
        <v>272615</v>
      </c>
      <c r="Q9" s="440">
        <v>971036</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2">
        <v>2003749</v>
      </c>
      <c r="M10" s="282">
        <v>2264498</v>
      </c>
      <c r="N10" s="282">
        <v>3213874</v>
      </c>
      <c r="O10" s="282">
        <v>2984844</v>
      </c>
      <c r="P10" s="282">
        <v>3003980</v>
      </c>
      <c r="Q10" s="440">
        <v>1945051</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2">
        <v>993407</v>
      </c>
      <c r="M11" s="282">
        <v>1309735</v>
      </c>
      <c r="N11" s="282">
        <v>1349576</v>
      </c>
      <c r="O11" s="282">
        <v>1669133</v>
      </c>
      <c r="P11" s="282">
        <v>2094055</v>
      </c>
      <c r="Q11" s="440">
        <v>2272766</v>
      </c>
    </row>
    <row r="12" spans="1:18" s="1" customFormat="1" ht="15" customHeight="1">
      <c r="A12" s="94" t="s">
        <v>58</v>
      </c>
      <c r="B12" s="94" t="s">
        <v>43</v>
      </c>
      <c r="C12" s="95">
        <f>SUM(C9:C11)</f>
        <v>2635608</v>
      </c>
      <c r="D12" s="95">
        <f t="shared" ref="D12:L12" si="3">SUM(D9:D11)</f>
        <v>2591607</v>
      </c>
      <c r="E12" s="95">
        <f t="shared" si="3"/>
        <v>2730481</v>
      </c>
      <c r="F12" s="95">
        <f t="shared" si="3"/>
        <v>2783083</v>
      </c>
      <c r="G12" s="95">
        <f t="shared" si="3"/>
        <v>3838090</v>
      </c>
      <c r="H12" s="95">
        <f t="shared" si="3"/>
        <v>3252586</v>
      </c>
      <c r="I12" s="95">
        <f t="shared" si="3"/>
        <v>3646033</v>
      </c>
      <c r="J12" s="95">
        <f t="shared" si="3"/>
        <v>2832928</v>
      </c>
      <c r="K12" s="95">
        <f t="shared" si="3"/>
        <v>2999969</v>
      </c>
      <c r="L12" s="51">
        <f t="shared" si="3"/>
        <v>3456334</v>
      </c>
      <c r="M12" s="51">
        <f>SUM(M9:M11)</f>
        <v>3997194</v>
      </c>
      <c r="N12" s="51">
        <f>SUM(N9:N11)</f>
        <v>5031744</v>
      </c>
      <c r="O12" s="51">
        <f>SUM(O9:O11)</f>
        <v>5392512</v>
      </c>
      <c r="P12" s="51">
        <f>SUM(P9:P11)</f>
        <v>5370650</v>
      </c>
      <c r="Q12" s="442">
        <f>SUM(Q9:Q11)</f>
        <v>5188853</v>
      </c>
      <c r="R12" s="424"/>
    </row>
  </sheetData>
  <customSheetViews>
    <customSheetView guid="{746490BF-9C44-4B41-8803-BEC9E453576A}" showGridLines="0">
      <selection activeCell="C2" sqref="C2"/>
      <pageMargins left="0.7" right="0.7" top="0.75" bottom="0.75" header="0.3" footer="0.3"/>
    </customSheetView>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1"/>
    </customSheetView>
    <customSheetView guid="{899D69CD-4B7E-42BC-9944-5BD922EB798C}" topLeftCell="F1">
      <selection activeCell="K24" sqref="K24"/>
      <pageMargins left="0.7" right="0.7" top="0.75" bottom="0.75" header="0.3" footer="0.3"/>
    </customSheetView>
    <customSheetView guid="{25FAB884-5E17-4008-8139-33D910C7DEFE}">
      <selection activeCell="H39" sqref="H39"/>
      <pageMargins left="0.7" right="0.7" top="0.75" bottom="0.75" header="0.3" footer="0.3"/>
    </customSheetView>
    <customSheetView guid="{8DA78CF1-615A-4626-9893-6751995631A4}" scale="72" showGridLines="0">
      <pane xSplit="2" ySplit="1" topLeftCell="H2" activePane="bottomRight" state="frozen"/>
      <selection pane="bottomRight" activeCell="N20" sqref="N20"/>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2.75"/>
  <cols>
    <col min="1" max="2" width="35.85546875" style="98" customWidth="1"/>
    <col min="3" max="12" width="13.42578125" style="98" customWidth="1"/>
    <col min="13" max="16" width="13.42578125" style="98" hidden="1" customWidth="1"/>
    <col min="17" max="18" width="13.42578125" style="98" customWidth="1"/>
    <col min="19" max="16384" width="9.140625" style="98"/>
  </cols>
  <sheetData>
    <row r="1" spans="1:18" ht="13.5" thickBot="1">
      <c r="A1" s="31" t="s">
        <v>522</v>
      </c>
      <c r="B1" s="31" t="s">
        <v>526</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c r="R1" s="148">
        <v>44104</v>
      </c>
    </row>
    <row r="2" spans="1:18" ht="25.5">
      <c r="A2" s="160" t="s">
        <v>504</v>
      </c>
      <c r="B2" s="160" t="s">
        <v>513</v>
      </c>
      <c r="C2" s="172">
        <f>SUM(C3:C5)</f>
        <v>1742397</v>
      </c>
      <c r="D2" s="172">
        <f>SUM(D3:D5)</f>
        <v>1604253</v>
      </c>
      <c r="E2" s="172">
        <f>SUM(E3:E5)</f>
        <v>1644383</v>
      </c>
      <c r="F2" s="172">
        <f t="shared" ref="F2:K2" si="0">SUM(F3:F5)</f>
        <v>1226551</v>
      </c>
      <c r="G2" s="172">
        <f>SUM(G3:G5)</f>
        <v>1226551</v>
      </c>
      <c r="H2" s="172">
        <f t="shared" si="0"/>
        <v>1089139</v>
      </c>
      <c r="I2" s="172">
        <f t="shared" si="0"/>
        <v>1500306</v>
      </c>
      <c r="J2" s="172">
        <f t="shared" si="0"/>
        <v>941677</v>
      </c>
      <c r="K2" s="172">
        <f t="shared" si="0"/>
        <v>1081227</v>
      </c>
      <c r="L2" s="172">
        <f t="shared" ref="L2:Q2" si="1">SUM(L3:L5)</f>
        <v>1249671</v>
      </c>
      <c r="M2" s="172">
        <f t="shared" si="1"/>
        <v>1336714</v>
      </c>
      <c r="N2" s="172">
        <f t="shared" si="1"/>
        <v>1761397</v>
      </c>
      <c r="O2" s="304">
        <f t="shared" si="1"/>
        <v>1474161</v>
      </c>
      <c r="P2" s="304">
        <f t="shared" si="1"/>
        <v>3673575</v>
      </c>
      <c r="Q2" s="304">
        <f t="shared" si="1"/>
        <v>2634383</v>
      </c>
      <c r="R2" s="304">
        <f t="shared" ref="R2" si="2">SUM(R3:R5)</f>
        <v>2721848</v>
      </c>
    </row>
    <row r="3" spans="1:18">
      <c r="A3" s="161" t="s">
        <v>505</v>
      </c>
      <c r="B3" s="161" t="s">
        <v>514</v>
      </c>
      <c r="C3" s="168">
        <v>966161</v>
      </c>
      <c r="D3" s="168">
        <v>811218</v>
      </c>
      <c r="E3" s="168">
        <v>801463</v>
      </c>
      <c r="F3" s="168">
        <v>307344</v>
      </c>
      <c r="G3" s="168">
        <v>307344</v>
      </c>
      <c r="H3" s="173">
        <v>359621</v>
      </c>
      <c r="I3" s="173">
        <v>378575</v>
      </c>
      <c r="J3" s="173">
        <v>339111</v>
      </c>
      <c r="K3" s="42">
        <v>553999</v>
      </c>
      <c r="L3" s="42">
        <v>661157</v>
      </c>
      <c r="M3" s="42">
        <v>723495</v>
      </c>
      <c r="N3" s="42">
        <v>875693</v>
      </c>
      <c r="O3" s="305">
        <v>719181</v>
      </c>
      <c r="P3" s="305">
        <v>1508980</v>
      </c>
      <c r="Q3" s="305">
        <v>1754874</v>
      </c>
      <c r="R3" s="305">
        <v>1704589</v>
      </c>
    </row>
    <row r="4" spans="1:18" ht="25.5">
      <c r="A4" s="162" t="s">
        <v>506</v>
      </c>
      <c r="B4" s="162" t="s">
        <v>515</v>
      </c>
      <c r="C4" s="407">
        <v>13079</v>
      </c>
      <c r="D4" s="407">
        <v>12382</v>
      </c>
      <c r="E4" s="406">
        <v>8268</v>
      </c>
      <c r="F4" s="168">
        <v>6053</v>
      </c>
      <c r="G4" s="168">
        <v>6053</v>
      </c>
      <c r="H4" s="173">
        <v>6880</v>
      </c>
      <c r="I4" s="173">
        <v>6394</v>
      </c>
      <c r="J4" s="173">
        <v>6282</v>
      </c>
      <c r="K4" s="42">
        <v>3279</v>
      </c>
      <c r="L4" s="42">
        <v>2844</v>
      </c>
      <c r="M4" s="42">
        <v>3148</v>
      </c>
      <c r="N4" s="42">
        <v>1916</v>
      </c>
      <c r="O4" s="305">
        <v>1450</v>
      </c>
      <c r="P4" s="305">
        <v>85</v>
      </c>
      <c r="Q4" s="305">
        <v>0</v>
      </c>
      <c r="R4" s="305">
        <v>0</v>
      </c>
    </row>
    <row r="5" spans="1:18">
      <c r="A5" s="161" t="s">
        <v>507</v>
      </c>
      <c r="B5" s="161" t="s">
        <v>516</v>
      </c>
      <c r="C5" s="168">
        <v>763157</v>
      </c>
      <c r="D5" s="168">
        <v>780653</v>
      </c>
      <c r="E5" s="168">
        <v>834652</v>
      </c>
      <c r="F5" s="168">
        <v>913154</v>
      </c>
      <c r="G5" s="168">
        <v>913154</v>
      </c>
      <c r="H5" s="173">
        <v>722638</v>
      </c>
      <c r="I5" s="173">
        <v>1115337</v>
      </c>
      <c r="J5" s="173">
        <v>596284</v>
      </c>
      <c r="K5" s="42">
        <v>523949</v>
      </c>
      <c r="L5" s="42">
        <v>585670</v>
      </c>
      <c r="M5" s="42">
        <v>610071</v>
      </c>
      <c r="N5" s="42">
        <v>883788</v>
      </c>
      <c r="O5" s="305">
        <v>753530</v>
      </c>
      <c r="P5" s="305">
        <v>2164510</v>
      </c>
      <c r="Q5" s="305">
        <v>879509</v>
      </c>
      <c r="R5" s="305">
        <v>1017259</v>
      </c>
    </row>
    <row r="6" spans="1:18">
      <c r="A6" s="163" t="s">
        <v>508</v>
      </c>
      <c r="B6" s="163" t="s">
        <v>517</v>
      </c>
      <c r="C6" s="174">
        <f>C7+C14</f>
        <v>745727</v>
      </c>
      <c r="D6" s="174">
        <f>D7+D14</f>
        <v>234987</v>
      </c>
      <c r="E6" s="174">
        <f t="shared" ref="E6:K6" si="3">E7+E14</f>
        <v>482164</v>
      </c>
      <c r="F6" s="172">
        <f t="shared" si="3"/>
        <v>203211</v>
      </c>
      <c r="G6" s="172">
        <f>G7+G14</f>
        <v>203211</v>
      </c>
      <c r="H6" s="172">
        <f t="shared" si="3"/>
        <v>139534</v>
      </c>
      <c r="I6" s="172">
        <f t="shared" si="3"/>
        <v>126703</v>
      </c>
      <c r="J6" s="172">
        <f t="shared" si="3"/>
        <v>242267</v>
      </c>
      <c r="K6" s="172">
        <f t="shared" si="3"/>
        <v>105636</v>
      </c>
      <c r="L6" s="172">
        <f>L7+L14</f>
        <v>157815</v>
      </c>
      <c r="M6" s="172">
        <f>M7+M14</f>
        <v>183443</v>
      </c>
      <c r="N6" s="172">
        <f>N7+N14</f>
        <v>999378</v>
      </c>
      <c r="O6" s="304">
        <f>O7+O14</f>
        <v>584347</v>
      </c>
      <c r="P6" s="304">
        <f t="shared" ref="P6:Q6" si="4">P7+P14</f>
        <v>228800</v>
      </c>
      <c r="Q6" s="304">
        <f t="shared" si="4"/>
        <v>86001</v>
      </c>
      <c r="R6" s="304">
        <f t="shared" ref="R6" si="5">R7+R14</f>
        <v>1975833</v>
      </c>
    </row>
    <row r="7" spans="1:18">
      <c r="A7" s="164" t="s">
        <v>509</v>
      </c>
      <c r="B7" s="164" t="s">
        <v>518</v>
      </c>
      <c r="C7" s="172">
        <f>C8+C10+C12</f>
        <v>716181</v>
      </c>
      <c r="D7" s="172">
        <f t="shared" ref="D7:N7" si="6">D8+D10+D12</f>
        <v>203709</v>
      </c>
      <c r="E7" s="172">
        <f t="shared" si="6"/>
        <v>421096</v>
      </c>
      <c r="F7" s="172">
        <f t="shared" si="6"/>
        <v>187750</v>
      </c>
      <c r="G7" s="172">
        <f>G8+G10+G12</f>
        <v>187750</v>
      </c>
      <c r="H7" s="172">
        <f t="shared" si="6"/>
        <v>113823</v>
      </c>
      <c r="I7" s="172">
        <f t="shared" si="6"/>
        <v>100986</v>
      </c>
      <c r="J7" s="172">
        <f t="shared" si="6"/>
        <v>224861</v>
      </c>
      <c r="K7" s="172">
        <f t="shared" si="6"/>
        <v>88735</v>
      </c>
      <c r="L7" s="172">
        <f t="shared" si="6"/>
        <v>136366</v>
      </c>
      <c r="M7" s="172">
        <f t="shared" si="6"/>
        <v>152273</v>
      </c>
      <c r="N7" s="172">
        <f t="shared" si="6"/>
        <v>981011</v>
      </c>
      <c r="O7" s="304">
        <f>O8+O10+O12</f>
        <v>546607</v>
      </c>
      <c r="P7" s="304">
        <f t="shared" ref="P7:Q7" si="7">P8+P10+P12</f>
        <v>224172</v>
      </c>
      <c r="Q7" s="304">
        <f t="shared" si="7"/>
        <v>72346</v>
      </c>
      <c r="R7" s="304">
        <f t="shared" ref="R7" si="8">R8+R10+R12</f>
        <v>1943664</v>
      </c>
    </row>
    <row r="8" spans="1:18">
      <c r="A8" s="161" t="s">
        <v>340</v>
      </c>
      <c r="B8" s="161" t="s">
        <v>350</v>
      </c>
      <c r="C8" s="42">
        <f t="shared" ref="C8:K8" si="9">C9</f>
        <v>715689</v>
      </c>
      <c r="D8" s="42">
        <f t="shared" si="9"/>
        <v>202369</v>
      </c>
      <c r="E8" s="42">
        <f t="shared" si="9"/>
        <v>419329</v>
      </c>
      <c r="F8" s="42">
        <f t="shared" si="9"/>
        <v>183702</v>
      </c>
      <c r="G8" s="42">
        <f t="shared" si="9"/>
        <v>183702</v>
      </c>
      <c r="H8" s="42">
        <f t="shared" si="9"/>
        <v>110112</v>
      </c>
      <c r="I8" s="42">
        <f t="shared" si="9"/>
        <v>95922</v>
      </c>
      <c r="J8" s="42">
        <f t="shared" si="9"/>
        <v>220292</v>
      </c>
      <c r="K8" s="42">
        <f t="shared" si="9"/>
        <v>84552</v>
      </c>
      <c r="L8" s="42">
        <f t="shared" ref="L8:R8" si="10">L9</f>
        <v>131731</v>
      </c>
      <c r="M8" s="42">
        <f t="shared" si="10"/>
        <v>147485</v>
      </c>
      <c r="N8" s="42">
        <f t="shared" si="10"/>
        <v>236425</v>
      </c>
      <c r="O8" s="305">
        <f t="shared" si="10"/>
        <v>391616</v>
      </c>
      <c r="P8" s="305">
        <f t="shared" si="10"/>
        <v>215475</v>
      </c>
      <c r="Q8" s="305">
        <f t="shared" si="10"/>
        <v>59240</v>
      </c>
      <c r="R8" s="305">
        <f t="shared" si="10"/>
        <v>185724</v>
      </c>
    </row>
    <row r="9" spans="1:18"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05">
        <v>391616</v>
      </c>
      <c r="P9" s="305">
        <v>215475</v>
      </c>
      <c r="Q9" s="305">
        <v>59240</v>
      </c>
      <c r="R9" s="305">
        <v>185724</v>
      </c>
    </row>
    <row r="10" spans="1:18" s="170" customFormat="1">
      <c r="A10" s="161" t="s">
        <v>342</v>
      </c>
      <c r="B10" s="161" t="s">
        <v>352</v>
      </c>
      <c r="C10" s="42">
        <f>C11</f>
        <v>0</v>
      </c>
      <c r="D10" s="42">
        <f t="shared" ref="D10:N10" si="11">D11</f>
        <v>0</v>
      </c>
      <c r="E10" s="42">
        <f t="shared" si="11"/>
        <v>0</v>
      </c>
      <c r="F10" s="42">
        <f t="shared" si="11"/>
        <v>0</v>
      </c>
      <c r="G10" s="42">
        <f t="shared" si="11"/>
        <v>0</v>
      </c>
      <c r="H10" s="42">
        <f t="shared" si="11"/>
        <v>0</v>
      </c>
      <c r="I10" s="42">
        <f t="shared" si="11"/>
        <v>0</v>
      </c>
      <c r="J10" s="42">
        <f t="shared" si="11"/>
        <v>0</v>
      </c>
      <c r="K10" s="42">
        <f t="shared" si="11"/>
        <v>0</v>
      </c>
      <c r="L10" s="42">
        <f t="shared" si="11"/>
        <v>0</v>
      </c>
      <c r="M10" s="42">
        <f t="shared" si="11"/>
        <v>0</v>
      </c>
      <c r="N10" s="42">
        <f t="shared" si="11"/>
        <v>739907</v>
      </c>
      <c r="O10" s="306">
        <f>O11</f>
        <v>149987</v>
      </c>
      <c r="P10" s="306">
        <f>P11</f>
        <v>0</v>
      </c>
      <c r="Q10" s="306">
        <f>Q11</f>
        <v>0</v>
      </c>
      <c r="R10" s="306">
        <f>R11</f>
        <v>0</v>
      </c>
    </row>
    <row r="11" spans="1:18"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05">
        <v>149987</v>
      </c>
      <c r="P11" s="305">
        <v>0</v>
      </c>
      <c r="Q11" s="305">
        <v>0</v>
      </c>
      <c r="R11" s="305">
        <v>0</v>
      </c>
    </row>
    <row r="12" spans="1:18">
      <c r="A12" s="161" t="s">
        <v>510</v>
      </c>
      <c r="B12" s="161" t="s">
        <v>519</v>
      </c>
      <c r="C12" s="42">
        <f t="shared" ref="C12:K12" si="12">C13</f>
        <v>492</v>
      </c>
      <c r="D12" s="42">
        <f t="shared" si="12"/>
        <v>1340</v>
      </c>
      <c r="E12" s="42">
        <f t="shared" si="12"/>
        <v>1767</v>
      </c>
      <c r="F12" s="42">
        <f t="shared" si="12"/>
        <v>4048</v>
      </c>
      <c r="G12" s="42">
        <f t="shared" si="12"/>
        <v>4048</v>
      </c>
      <c r="H12" s="42">
        <f t="shared" si="12"/>
        <v>3711</v>
      </c>
      <c r="I12" s="42">
        <f t="shared" si="12"/>
        <v>5064</v>
      </c>
      <c r="J12" s="42">
        <f t="shared" si="12"/>
        <v>4569</v>
      </c>
      <c r="K12" s="42">
        <f t="shared" si="12"/>
        <v>4183</v>
      </c>
      <c r="L12" s="42">
        <f t="shared" ref="L12:R12" si="13">L13</f>
        <v>4635</v>
      </c>
      <c r="M12" s="42">
        <f t="shared" si="13"/>
        <v>4788</v>
      </c>
      <c r="N12" s="42">
        <f t="shared" si="13"/>
        <v>4679</v>
      </c>
      <c r="O12" s="305">
        <f t="shared" si="13"/>
        <v>5004</v>
      </c>
      <c r="P12" s="305">
        <f t="shared" si="13"/>
        <v>8697</v>
      </c>
      <c r="Q12" s="305">
        <f t="shared" si="13"/>
        <v>13106</v>
      </c>
      <c r="R12" s="305">
        <f t="shared" si="13"/>
        <v>1757940</v>
      </c>
    </row>
    <row r="13" spans="1:18">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05">
        <v>5004</v>
      </c>
      <c r="P13" s="305">
        <v>8697</v>
      </c>
      <c r="Q13" s="305">
        <v>13106</v>
      </c>
      <c r="R13" s="305">
        <v>1757940</v>
      </c>
    </row>
    <row r="14" spans="1:18">
      <c r="A14" s="164" t="s">
        <v>511</v>
      </c>
      <c r="B14" s="164" t="s">
        <v>520</v>
      </c>
      <c r="C14" s="172">
        <v>29546</v>
      </c>
      <c r="D14" s="172">
        <v>31278</v>
      </c>
      <c r="E14" s="172">
        <v>61068</v>
      </c>
      <c r="F14" s="169">
        <v>15461</v>
      </c>
      <c r="G14" s="169">
        <v>15461</v>
      </c>
      <c r="H14" s="175">
        <v>25711</v>
      </c>
      <c r="I14" s="175">
        <v>25717</v>
      </c>
      <c r="J14" s="175">
        <v>17406</v>
      </c>
      <c r="K14" s="172">
        <v>16901</v>
      </c>
      <c r="L14" s="172">
        <v>21449</v>
      </c>
      <c r="M14" s="172">
        <v>31170</v>
      </c>
      <c r="N14" s="172">
        <v>18367</v>
      </c>
      <c r="O14" s="304">
        <v>37740</v>
      </c>
      <c r="P14" s="304">
        <v>4628</v>
      </c>
      <c r="Q14" s="304">
        <v>13655</v>
      </c>
      <c r="R14" s="304">
        <v>32169</v>
      </c>
    </row>
    <row r="15" spans="1:18">
      <c r="A15" s="166" t="s">
        <v>523</v>
      </c>
      <c r="B15" s="166" t="s">
        <v>527</v>
      </c>
      <c r="C15" s="167">
        <f>C2+C6</f>
        <v>2488124</v>
      </c>
      <c r="D15" s="167">
        <f t="shared" ref="D15:L15" si="14">D2+D6</f>
        <v>1839240</v>
      </c>
      <c r="E15" s="167">
        <f t="shared" si="14"/>
        <v>2126547</v>
      </c>
      <c r="F15" s="167">
        <f t="shared" si="14"/>
        <v>1429762</v>
      </c>
      <c r="G15" s="167">
        <f>G2+G6</f>
        <v>1429762</v>
      </c>
      <c r="H15" s="167">
        <f t="shared" si="14"/>
        <v>1228673</v>
      </c>
      <c r="I15" s="167">
        <f t="shared" si="14"/>
        <v>1627009</v>
      </c>
      <c r="J15" s="167">
        <f t="shared" si="14"/>
        <v>1183944</v>
      </c>
      <c r="K15" s="167">
        <f t="shared" si="14"/>
        <v>1186863</v>
      </c>
      <c r="L15" s="167">
        <f t="shared" si="14"/>
        <v>1407486</v>
      </c>
      <c r="M15" s="167">
        <f t="shared" ref="M15:R15" si="15">M2+M6</f>
        <v>1520157</v>
      </c>
      <c r="N15" s="167">
        <f t="shared" si="15"/>
        <v>2760775</v>
      </c>
      <c r="O15" s="307">
        <f t="shared" si="15"/>
        <v>2058508</v>
      </c>
      <c r="P15" s="307">
        <f t="shared" si="15"/>
        <v>3902375</v>
      </c>
      <c r="Q15" s="307">
        <f t="shared" si="15"/>
        <v>2720384</v>
      </c>
      <c r="R15" s="307">
        <f t="shared" si="15"/>
        <v>4697681</v>
      </c>
    </row>
    <row r="16" spans="1:18">
      <c r="A16" s="178"/>
      <c r="B16" s="178"/>
      <c r="C16" s="182"/>
      <c r="D16" s="182"/>
      <c r="E16" s="182"/>
      <c r="F16" s="182"/>
      <c r="G16" s="182"/>
      <c r="H16" s="182"/>
      <c r="I16" s="182"/>
      <c r="J16" s="182"/>
      <c r="K16" s="182"/>
      <c r="L16" s="182"/>
      <c r="M16" s="182"/>
      <c r="N16" s="182"/>
      <c r="O16" s="182"/>
      <c r="P16" s="182"/>
      <c r="Q16" s="453"/>
      <c r="R16" s="453"/>
    </row>
    <row r="17" spans="1:19">
      <c r="A17" s="178"/>
      <c r="B17" s="178"/>
      <c r="C17" s="179"/>
      <c r="D17" s="179"/>
      <c r="E17" s="179"/>
      <c r="F17" s="179"/>
      <c r="G17" s="179"/>
      <c r="H17" s="179"/>
      <c r="I17" s="179"/>
      <c r="J17" s="179"/>
      <c r="K17" s="179"/>
      <c r="L17" s="179"/>
    </row>
    <row r="18" spans="1:19" ht="26.25" thickBot="1">
      <c r="A18" s="31" t="s">
        <v>534</v>
      </c>
      <c r="B18" s="31" t="s">
        <v>539</v>
      </c>
      <c r="C18" s="148">
        <v>42825</v>
      </c>
      <c r="D18" s="148">
        <v>42916</v>
      </c>
      <c r="E18" s="148">
        <v>43008</v>
      </c>
      <c r="F18" s="148">
        <v>43100</v>
      </c>
      <c r="G18" s="148">
        <v>43101</v>
      </c>
      <c r="H18" s="148">
        <v>43190</v>
      </c>
      <c r="I18" s="148">
        <v>43281</v>
      </c>
      <c r="J18" s="148">
        <v>43373</v>
      </c>
      <c r="K18" s="148">
        <v>43465</v>
      </c>
      <c r="L18" s="148">
        <v>43555</v>
      </c>
      <c r="M18" s="148">
        <f t="shared" ref="M18:R18" si="16">M1</f>
        <v>43646</v>
      </c>
      <c r="N18" s="148">
        <f t="shared" si="16"/>
        <v>43738</v>
      </c>
      <c r="O18" s="148">
        <f t="shared" si="16"/>
        <v>43830</v>
      </c>
      <c r="P18" s="148">
        <f t="shared" si="16"/>
        <v>43921</v>
      </c>
      <c r="Q18" s="148">
        <f t="shared" si="16"/>
        <v>44012</v>
      </c>
      <c r="R18" s="148">
        <f t="shared" si="16"/>
        <v>44104</v>
      </c>
    </row>
    <row r="19" spans="1:19" ht="25.5">
      <c r="A19" s="181" t="s">
        <v>530</v>
      </c>
      <c r="B19" s="161" t="s">
        <v>536</v>
      </c>
      <c r="C19" s="173">
        <v>1254</v>
      </c>
      <c r="D19" s="173">
        <v>1031</v>
      </c>
      <c r="E19" s="173">
        <v>2356</v>
      </c>
      <c r="F19" s="173">
        <v>2283</v>
      </c>
      <c r="G19" s="173">
        <v>2283</v>
      </c>
      <c r="H19" s="173">
        <v>281</v>
      </c>
      <c r="I19" s="173">
        <v>277</v>
      </c>
      <c r="J19" s="173">
        <v>1084</v>
      </c>
      <c r="K19" s="173">
        <v>312</v>
      </c>
      <c r="L19" s="173">
        <v>139</v>
      </c>
      <c r="M19" s="173">
        <v>1241</v>
      </c>
      <c r="N19" s="173">
        <v>8</v>
      </c>
      <c r="O19" s="305">
        <v>2880</v>
      </c>
      <c r="P19" s="305">
        <v>0</v>
      </c>
      <c r="Q19" s="305">
        <v>0</v>
      </c>
      <c r="R19" s="305">
        <v>1064</v>
      </c>
    </row>
    <row r="20" spans="1:19" ht="25.5">
      <c r="A20" s="162" t="s">
        <v>531</v>
      </c>
      <c r="B20" s="162" t="s">
        <v>537</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08">
        <v>41093</v>
      </c>
      <c r="P20" s="308">
        <v>22023</v>
      </c>
      <c r="Q20" s="425">
        <v>30546</v>
      </c>
      <c r="R20" s="425">
        <v>31570</v>
      </c>
    </row>
    <row r="21" spans="1:19">
      <c r="A21" s="166" t="s">
        <v>532</v>
      </c>
      <c r="B21" s="166" t="s">
        <v>533</v>
      </c>
      <c r="C21" s="167">
        <f>C19+C20</f>
        <v>110789</v>
      </c>
      <c r="D21" s="167">
        <f t="shared" ref="D21:L21" si="17">D19+D20</f>
        <v>89111</v>
      </c>
      <c r="E21" s="167">
        <f t="shared" si="17"/>
        <v>115143</v>
      </c>
      <c r="F21" s="167">
        <f t="shared" si="17"/>
        <v>218061</v>
      </c>
      <c r="G21" s="167">
        <f>G19+G20</f>
        <v>218061</v>
      </c>
      <c r="H21" s="167">
        <f t="shared" si="17"/>
        <v>186449</v>
      </c>
      <c r="I21" s="167">
        <f t="shared" si="17"/>
        <v>90621</v>
      </c>
      <c r="J21" s="167">
        <f t="shared" si="17"/>
        <v>111100</v>
      </c>
      <c r="K21" s="167">
        <f t="shared" si="17"/>
        <v>73221</v>
      </c>
      <c r="L21" s="167">
        <f t="shared" si="17"/>
        <v>76382</v>
      </c>
      <c r="M21" s="167">
        <f t="shared" ref="M21:R21" si="18">M19+M20</f>
        <v>95406</v>
      </c>
      <c r="N21" s="167">
        <f t="shared" si="18"/>
        <v>38960</v>
      </c>
      <c r="O21" s="167">
        <f t="shared" si="18"/>
        <v>43973</v>
      </c>
      <c r="P21" s="167">
        <f t="shared" si="18"/>
        <v>22023</v>
      </c>
      <c r="Q21" s="167">
        <f t="shared" si="18"/>
        <v>30546</v>
      </c>
      <c r="R21" s="167">
        <f t="shared" si="18"/>
        <v>32634</v>
      </c>
    </row>
    <row r="22" spans="1:19">
      <c r="A22" s="178"/>
      <c r="B22" s="178"/>
      <c r="C22" s="344">
        <f>C15+C21-BS!D5</f>
        <v>0</v>
      </c>
      <c r="D22" s="344">
        <f>D15+D21-BS!E5</f>
        <v>0</v>
      </c>
      <c r="E22" s="344">
        <f>E15+E21-BS!F5</f>
        <v>0</v>
      </c>
      <c r="F22" s="344">
        <f>F15+F21-BS!G5</f>
        <v>0</v>
      </c>
      <c r="G22" s="344"/>
      <c r="H22" s="344">
        <f>H15+H21-BS!I5</f>
        <v>0</v>
      </c>
      <c r="I22" s="344">
        <f>I15+I21-BS!J5</f>
        <v>0</v>
      </c>
      <c r="J22" s="344">
        <f>J15+J21-BS!K5</f>
        <v>0</v>
      </c>
      <c r="K22" s="344">
        <f>K15+K21-BS!L5</f>
        <v>0</v>
      </c>
      <c r="L22" s="344">
        <f>L15+L21-BS!M5</f>
        <v>0</v>
      </c>
      <c r="M22" s="344">
        <f>M15+M21-BS!N5</f>
        <v>0</v>
      </c>
      <c r="N22" s="344">
        <f>N15+N21-BS!O5</f>
        <v>0</v>
      </c>
      <c r="O22" s="344">
        <f>O15+O21-BS!P5</f>
        <v>0</v>
      </c>
      <c r="P22" s="344">
        <f>P15+P21-BS!Q5</f>
        <v>0</v>
      </c>
      <c r="Q22" s="344">
        <f>Q15+Q21-BS!R5</f>
        <v>0</v>
      </c>
      <c r="R22" s="344">
        <f>R15+R21-BS!S5</f>
        <v>0</v>
      </c>
    </row>
    <row r="23" spans="1:19" ht="15" customHeight="1">
      <c r="C23" s="327"/>
      <c r="D23" s="327"/>
      <c r="E23" s="327"/>
      <c r="F23" s="327"/>
      <c r="G23" s="327"/>
      <c r="H23" s="327"/>
      <c r="I23" s="327"/>
      <c r="J23" s="327"/>
      <c r="K23" s="327"/>
      <c r="L23" s="327"/>
      <c r="M23" s="327"/>
      <c r="N23" s="327"/>
      <c r="O23" s="327"/>
      <c r="P23" s="327"/>
      <c r="Q23" s="327"/>
      <c r="R23" s="327"/>
    </row>
    <row r="24" spans="1:19">
      <c r="C24" s="327"/>
      <c r="D24" s="327"/>
      <c r="E24" s="327"/>
      <c r="F24" s="327"/>
      <c r="G24" s="327"/>
      <c r="H24" s="327"/>
      <c r="I24" s="327"/>
      <c r="J24" s="327"/>
      <c r="K24" s="327"/>
      <c r="L24" s="327"/>
      <c r="M24" s="327"/>
      <c r="N24" s="327"/>
      <c r="O24" s="327"/>
      <c r="P24" s="327"/>
      <c r="Q24" s="327"/>
      <c r="R24" s="327"/>
    </row>
    <row r="25" spans="1:19">
      <c r="A25" s="158"/>
      <c r="B25" s="158"/>
      <c r="C25" s="321"/>
      <c r="D25" s="321"/>
      <c r="E25" s="321"/>
      <c r="F25" s="321"/>
      <c r="G25" s="321"/>
      <c r="H25" s="321"/>
      <c r="I25" s="321"/>
      <c r="J25" s="321"/>
      <c r="K25" s="321"/>
      <c r="L25" s="321"/>
      <c r="M25" s="321"/>
      <c r="N25" s="321"/>
      <c r="O25" s="321"/>
      <c r="P25" s="321"/>
      <c r="Q25" s="321"/>
      <c r="R25" s="321"/>
    </row>
    <row r="26" spans="1:19" ht="26.25" thickBot="1">
      <c r="A26" s="322" t="s">
        <v>524</v>
      </c>
      <c r="B26" s="322" t="s">
        <v>528</v>
      </c>
      <c r="C26" s="148">
        <v>42825</v>
      </c>
      <c r="D26" s="148">
        <v>42916</v>
      </c>
      <c r="E26" s="148">
        <v>43008</v>
      </c>
      <c r="F26" s="148">
        <v>43100</v>
      </c>
      <c r="G26" s="148">
        <v>43101</v>
      </c>
      <c r="H26" s="148">
        <v>43190</v>
      </c>
      <c r="I26" s="148">
        <v>43281</v>
      </c>
      <c r="J26" s="148">
        <v>43373</v>
      </c>
      <c r="K26" s="148">
        <v>43465</v>
      </c>
      <c r="L26" s="148">
        <v>43555</v>
      </c>
      <c r="M26" s="148">
        <f t="shared" ref="M26:R26" si="19">M18</f>
        <v>43646</v>
      </c>
      <c r="N26" s="148">
        <f t="shared" si="19"/>
        <v>43738</v>
      </c>
      <c r="O26" s="148">
        <f t="shared" si="19"/>
        <v>43830</v>
      </c>
      <c r="P26" s="148">
        <f t="shared" si="19"/>
        <v>43921</v>
      </c>
      <c r="Q26" s="148">
        <f t="shared" si="19"/>
        <v>44012</v>
      </c>
      <c r="R26" s="148">
        <f t="shared" si="19"/>
        <v>44104</v>
      </c>
    </row>
    <row r="27" spans="1:19" ht="25.5">
      <c r="A27" s="160" t="s">
        <v>504</v>
      </c>
      <c r="B27" s="160" t="s">
        <v>513</v>
      </c>
      <c r="C27" s="172">
        <f>SUM(C28:C30)</f>
        <v>1590912</v>
      </c>
      <c r="D27" s="172">
        <f>SUM(D28:D30)</f>
        <v>1502171</v>
      </c>
      <c r="E27" s="172">
        <f>SUM(E28:E30)</f>
        <v>1487405</v>
      </c>
      <c r="F27" s="172">
        <f>SUM(F28:F30)</f>
        <v>1237704</v>
      </c>
      <c r="G27" s="172">
        <f>SUM(G28:G30)</f>
        <v>1237704</v>
      </c>
      <c r="H27" s="172">
        <v>954909</v>
      </c>
      <c r="I27" s="172">
        <f t="shared" ref="I27:P27" si="20">SUM(I28:I30)</f>
        <v>1194616</v>
      </c>
      <c r="J27" s="172">
        <f t="shared" si="20"/>
        <v>891658</v>
      </c>
      <c r="K27" s="172">
        <f t="shared" si="20"/>
        <v>1058024</v>
      </c>
      <c r="L27" s="172">
        <f t="shared" si="20"/>
        <v>1166394</v>
      </c>
      <c r="M27" s="172">
        <f t="shared" si="20"/>
        <v>1401461</v>
      </c>
      <c r="N27" s="172">
        <f t="shared" si="20"/>
        <v>1793215</v>
      </c>
      <c r="O27" s="309">
        <f t="shared" si="20"/>
        <v>1524250</v>
      </c>
      <c r="P27" s="309">
        <f t="shared" si="20"/>
        <v>3339834</v>
      </c>
      <c r="Q27" s="309">
        <f t="shared" ref="Q27:R27" si="21">SUM(Q28:Q30)</f>
        <v>2656612</v>
      </c>
      <c r="R27" s="309">
        <f t="shared" si="21"/>
        <v>2754926</v>
      </c>
      <c r="S27" s="170"/>
    </row>
    <row r="28" spans="1:19">
      <c r="A28" s="161" t="s">
        <v>505</v>
      </c>
      <c r="B28" s="161" t="s">
        <v>514</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05">
        <v>766820</v>
      </c>
      <c r="P28" s="305">
        <v>1505261</v>
      </c>
      <c r="Q28" s="306">
        <v>1736358</v>
      </c>
      <c r="R28" s="306">
        <v>1797322</v>
      </c>
      <c r="S28" s="170"/>
    </row>
    <row r="29" spans="1:19" ht="25.5">
      <c r="A29" s="162" t="s">
        <v>506</v>
      </c>
      <c r="B29" s="162" t="s">
        <v>515</v>
      </c>
      <c r="C29" s="173">
        <v>13079</v>
      </c>
      <c r="D29" s="173">
        <v>12382</v>
      </c>
      <c r="E29" s="173">
        <v>8268</v>
      </c>
      <c r="F29" s="173">
        <v>6053</v>
      </c>
      <c r="G29" s="173">
        <v>6053</v>
      </c>
      <c r="H29" s="173">
        <v>6880</v>
      </c>
      <c r="I29" s="173">
        <v>6394</v>
      </c>
      <c r="J29" s="173">
        <v>6282</v>
      </c>
      <c r="K29" s="42">
        <v>3279</v>
      </c>
      <c r="L29" s="42">
        <v>2844</v>
      </c>
      <c r="M29" s="42">
        <v>3148</v>
      </c>
      <c r="N29" s="42">
        <v>1916</v>
      </c>
      <c r="O29" s="305">
        <v>1450</v>
      </c>
      <c r="P29" s="305">
        <v>85</v>
      </c>
      <c r="Q29" s="306">
        <v>0</v>
      </c>
      <c r="R29" s="306">
        <v>0</v>
      </c>
      <c r="S29" s="170"/>
    </row>
    <row r="30" spans="1:19">
      <c r="A30" s="161" t="s">
        <v>507</v>
      </c>
      <c r="B30" s="161" t="s">
        <v>516</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05">
        <v>755980</v>
      </c>
      <c r="P30" s="305">
        <v>1834488</v>
      </c>
      <c r="Q30" s="306">
        <v>920254</v>
      </c>
      <c r="R30" s="306">
        <v>957604</v>
      </c>
      <c r="S30" s="170"/>
    </row>
    <row r="31" spans="1:19">
      <c r="A31" s="165" t="s">
        <v>512</v>
      </c>
      <c r="B31" s="165" t="s">
        <v>521</v>
      </c>
      <c r="C31" s="175">
        <f>176936+580131</f>
        <v>757067</v>
      </c>
      <c r="D31" s="175">
        <f>182684</f>
        <v>182684</v>
      </c>
      <c r="E31" s="175">
        <f>375319</f>
        <v>375319</v>
      </c>
      <c r="F31" s="176">
        <f>230895</f>
        <v>230895</v>
      </c>
      <c r="G31" s="176">
        <f>230895</f>
        <v>230895</v>
      </c>
      <c r="H31" s="175">
        <f>622545</f>
        <v>622545</v>
      </c>
      <c r="I31" s="176">
        <f>105024</f>
        <v>105024</v>
      </c>
      <c r="J31" s="176">
        <f>675323</f>
        <v>675323</v>
      </c>
      <c r="K31" s="177">
        <f>423377</f>
        <v>423377</v>
      </c>
      <c r="L31" s="177">
        <f>722673</f>
        <v>722673</v>
      </c>
      <c r="M31" s="177">
        <f>394767</f>
        <v>394767</v>
      </c>
      <c r="N31" s="177">
        <v>220460</v>
      </c>
      <c r="O31" s="310">
        <v>332563</v>
      </c>
      <c r="P31" s="310">
        <v>143000</v>
      </c>
      <c r="Q31" s="426">
        <v>210553</v>
      </c>
      <c r="R31" s="426">
        <v>114331</v>
      </c>
      <c r="S31" s="170"/>
    </row>
    <row r="32" spans="1:19">
      <c r="A32" s="166" t="s">
        <v>525</v>
      </c>
      <c r="B32" s="166" t="s">
        <v>529</v>
      </c>
      <c r="C32" s="167">
        <f t="shared" ref="C32:L32" si="22">C27+C31</f>
        <v>2347979</v>
      </c>
      <c r="D32" s="167">
        <f t="shared" si="22"/>
        <v>1684855</v>
      </c>
      <c r="E32" s="167">
        <f t="shared" si="22"/>
        <v>1862724</v>
      </c>
      <c r="F32" s="167">
        <f t="shared" si="22"/>
        <v>1468599</v>
      </c>
      <c r="G32" s="167">
        <f>G27+G31</f>
        <v>1468599</v>
      </c>
      <c r="H32" s="167">
        <f t="shared" si="22"/>
        <v>1577454</v>
      </c>
      <c r="I32" s="167">
        <f t="shared" si="22"/>
        <v>1299640</v>
      </c>
      <c r="J32" s="167">
        <f t="shared" si="22"/>
        <v>1566981</v>
      </c>
      <c r="K32" s="167">
        <f t="shared" si="22"/>
        <v>1481401</v>
      </c>
      <c r="L32" s="167">
        <f t="shared" si="22"/>
        <v>1889067</v>
      </c>
      <c r="M32" s="167">
        <f t="shared" ref="M32:R32" si="23">M27+M31</f>
        <v>1796228</v>
      </c>
      <c r="N32" s="167">
        <f t="shared" si="23"/>
        <v>2013675</v>
      </c>
      <c r="O32" s="311">
        <f t="shared" si="23"/>
        <v>1856813</v>
      </c>
      <c r="P32" s="311">
        <f t="shared" si="23"/>
        <v>3482834</v>
      </c>
      <c r="Q32" s="311">
        <f t="shared" si="23"/>
        <v>2867165</v>
      </c>
      <c r="R32" s="311">
        <f t="shared" si="23"/>
        <v>2869257</v>
      </c>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535</v>
      </c>
      <c r="B35" s="31" t="s">
        <v>538</v>
      </c>
      <c r="C35" s="148">
        <f>C26</f>
        <v>42825</v>
      </c>
      <c r="D35" s="148">
        <v>42916</v>
      </c>
      <c r="E35" s="148">
        <v>43008</v>
      </c>
      <c r="F35" s="148">
        <v>43100</v>
      </c>
      <c r="G35" s="148">
        <v>43100</v>
      </c>
      <c r="H35" s="148">
        <v>43190</v>
      </c>
      <c r="I35" s="148">
        <v>43281</v>
      </c>
      <c r="J35" s="148">
        <v>43373</v>
      </c>
      <c r="K35" s="148">
        <v>43465</v>
      </c>
      <c r="L35" s="148">
        <v>43555</v>
      </c>
      <c r="M35" s="148">
        <f t="shared" ref="M35:R35" si="24">M26</f>
        <v>43646</v>
      </c>
      <c r="N35" s="148">
        <f t="shared" si="24"/>
        <v>43738</v>
      </c>
      <c r="O35" s="148">
        <f t="shared" si="24"/>
        <v>43830</v>
      </c>
      <c r="P35" s="148">
        <f t="shared" si="24"/>
        <v>43921</v>
      </c>
      <c r="Q35" s="148">
        <f t="shared" si="24"/>
        <v>44012</v>
      </c>
      <c r="R35" s="148">
        <f t="shared" si="24"/>
        <v>44104</v>
      </c>
    </row>
    <row r="36" spans="1:19" ht="30" customHeight="1">
      <c r="A36" s="181" t="s">
        <v>530</v>
      </c>
      <c r="B36" s="161" t="s">
        <v>536</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05">
        <v>156700</v>
      </c>
      <c r="P36" s="305">
        <v>348701</v>
      </c>
      <c r="Q36" s="306">
        <v>409101</v>
      </c>
      <c r="R36" s="306">
        <v>407133</v>
      </c>
    </row>
    <row r="37" spans="1:19" ht="30" customHeight="1">
      <c r="A37" s="162" t="s">
        <v>531</v>
      </c>
      <c r="B37" s="162" t="s">
        <v>537</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08">
        <v>838927</v>
      </c>
      <c r="P37" s="308">
        <v>1514772</v>
      </c>
      <c r="Q37" s="425">
        <v>1233706</v>
      </c>
      <c r="R37" s="425">
        <v>1292157</v>
      </c>
    </row>
    <row r="38" spans="1:19">
      <c r="A38" s="166" t="s">
        <v>532</v>
      </c>
      <c r="B38" s="166" t="s">
        <v>533</v>
      </c>
      <c r="C38" s="167">
        <f t="shared" ref="C38:P38" si="25">C36+C37</f>
        <v>1359523</v>
      </c>
      <c r="D38" s="167">
        <f t="shared" si="25"/>
        <v>1186008</v>
      </c>
      <c r="E38" s="167">
        <f t="shared" si="25"/>
        <v>992306</v>
      </c>
      <c r="F38" s="167">
        <f t="shared" si="25"/>
        <v>578798</v>
      </c>
      <c r="G38" s="167">
        <f t="shared" si="25"/>
        <v>578798</v>
      </c>
      <c r="H38" s="167">
        <f t="shared" si="25"/>
        <v>642311</v>
      </c>
      <c r="I38" s="167">
        <f t="shared" si="25"/>
        <v>951207</v>
      </c>
      <c r="J38" s="167">
        <f t="shared" si="25"/>
        <v>848089</v>
      </c>
      <c r="K38" s="167">
        <f t="shared" si="25"/>
        <v>912482</v>
      </c>
      <c r="L38" s="167">
        <f t="shared" si="25"/>
        <v>910434</v>
      </c>
      <c r="M38" s="167">
        <f t="shared" si="25"/>
        <v>882794</v>
      </c>
      <c r="N38" s="167">
        <f t="shared" si="25"/>
        <v>1280987</v>
      </c>
      <c r="O38" s="307">
        <f t="shared" si="25"/>
        <v>995627</v>
      </c>
      <c r="P38" s="307">
        <f t="shared" si="25"/>
        <v>1863473</v>
      </c>
      <c r="Q38" s="307">
        <f t="shared" ref="Q38:R38" si="26">Q36+Q37</f>
        <v>1642807</v>
      </c>
      <c r="R38" s="307">
        <f t="shared" si="26"/>
        <v>1699290</v>
      </c>
    </row>
    <row r="39" spans="1:19">
      <c r="A39" s="294"/>
      <c r="B39" s="294"/>
      <c r="C39" s="329">
        <f>C32+C38-BS!D30</f>
        <v>0</v>
      </c>
      <c r="D39" s="329">
        <f>D32+D38-BS!E30</f>
        <v>0</v>
      </c>
      <c r="E39" s="329">
        <f>E32+E38-BS!F30</f>
        <v>0</v>
      </c>
      <c r="F39" s="329">
        <f>F32+F38-BS!G30</f>
        <v>0</v>
      </c>
      <c r="G39" s="329">
        <f>G32+G38-BS!H30</f>
        <v>0</v>
      </c>
      <c r="H39" s="329">
        <f>H32+H38-BS!I30</f>
        <v>0</v>
      </c>
      <c r="I39" s="329">
        <f>I32+I38-BS!J30</f>
        <v>0</v>
      </c>
      <c r="J39" s="329">
        <f>J32+J38-BS!K30</f>
        <v>0</v>
      </c>
      <c r="K39" s="329">
        <f>K32+K38-BS!L30</f>
        <v>0</v>
      </c>
      <c r="L39" s="329">
        <f>L32+L38-BS!M30</f>
        <v>0</v>
      </c>
      <c r="M39" s="329">
        <f>M32+M38-BS!N30</f>
        <v>0</v>
      </c>
      <c r="N39" s="329">
        <f>N32+N38-BS!O30</f>
        <v>0</v>
      </c>
      <c r="O39" s="329">
        <f>O32+O38-BS!P30</f>
        <v>0</v>
      </c>
      <c r="P39" s="329">
        <f>P32+P38-BS!Q30</f>
        <v>0</v>
      </c>
      <c r="Q39" s="329">
        <f>Q32+Q38-BS!R30</f>
        <v>0</v>
      </c>
      <c r="R39" s="329">
        <f>R32+R38-BS!S30</f>
        <v>0</v>
      </c>
    </row>
    <row r="40" spans="1:19">
      <c r="A40" s="294"/>
      <c r="B40" s="328" t="s">
        <v>650</v>
      </c>
      <c r="C40" s="321"/>
      <c r="D40" s="321"/>
      <c r="E40" s="321"/>
      <c r="F40" s="321"/>
      <c r="G40" s="321"/>
      <c r="H40" s="321"/>
      <c r="I40" s="321"/>
      <c r="J40" s="321"/>
      <c r="K40" s="321"/>
      <c r="L40" s="321"/>
      <c r="M40" s="321"/>
      <c r="N40" s="321"/>
      <c r="O40" s="321"/>
      <c r="P40" s="294"/>
      <c r="Q40" s="294"/>
    </row>
    <row r="41" spans="1:19">
      <c r="A41" s="332"/>
      <c r="B41" s="331" t="s">
        <v>649</v>
      </c>
      <c r="C41" s="338"/>
      <c r="D41" s="338"/>
      <c r="E41" s="338"/>
      <c r="F41" s="338"/>
      <c r="G41" s="338"/>
      <c r="H41" s="338"/>
      <c r="I41" s="338"/>
      <c r="J41" s="338"/>
      <c r="K41" s="338"/>
      <c r="L41" s="338"/>
      <c r="M41" s="338"/>
      <c r="N41" s="338"/>
      <c r="O41" s="338"/>
      <c r="P41" s="294"/>
      <c r="Q41" s="294"/>
    </row>
    <row r="42" spans="1:19">
      <c r="A42" s="332"/>
      <c r="B42" s="332"/>
      <c r="C42" s="338"/>
      <c r="D42" s="338"/>
      <c r="E42" s="338"/>
      <c r="F42" s="338"/>
      <c r="G42" s="338"/>
      <c r="H42" s="338"/>
      <c r="I42" s="338"/>
      <c r="J42" s="338"/>
      <c r="K42" s="338"/>
      <c r="L42" s="338"/>
      <c r="M42" s="338"/>
      <c r="N42" s="338"/>
      <c r="O42" s="338"/>
      <c r="P42" s="294"/>
      <c r="Q42" s="294"/>
    </row>
    <row r="43" spans="1:19">
      <c r="A43" s="338"/>
      <c r="B43" s="338"/>
      <c r="C43" s="338"/>
      <c r="D43" s="338"/>
      <c r="E43" s="338"/>
      <c r="F43" s="338"/>
      <c r="G43" s="338"/>
      <c r="H43" s="338"/>
      <c r="I43" s="338"/>
      <c r="J43" s="338"/>
      <c r="K43" s="338"/>
      <c r="L43" s="338"/>
      <c r="M43" s="338"/>
      <c r="N43" s="338"/>
      <c r="O43" s="338"/>
      <c r="P43" s="340"/>
      <c r="Q43" s="340"/>
    </row>
    <row r="44" spans="1:19" s="158" customFormat="1" ht="14.25">
      <c r="A44" s="341"/>
      <c r="B44" s="341"/>
      <c r="C44" s="339"/>
      <c r="D44" s="339"/>
      <c r="E44" s="339"/>
      <c r="F44" s="339"/>
      <c r="G44" s="339"/>
      <c r="H44" s="339"/>
      <c r="I44" s="339"/>
      <c r="J44" s="339"/>
      <c r="K44" s="339"/>
      <c r="L44" s="339"/>
      <c r="M44" s="339"/>
      <c r="N44" s="339"/>
      <c r="O44" s="339"/>
      <c r="P44" s="342"/>
      <c r="Q44" s="342"/>
    </row>
    <row r="45" spans="1:19">
      <c r="A45" s="338"/>
      <c r="B45" s="338"/>
      <c r="C45" s="338"/>
      <c r="D45" s="338"/>
      <c r="E45" s="338"/>
      <c r="F45" s="338"/>
      <c r="G45" s="338"/>
      <c r="H45" s="338"/>
      <c r="I45" s="338"/>
      <c r="J45" s="338"/>
      <c r="K45" s="338"/>
      <c r="L45" s="338"/>
      <c r="M45" s="338"/>
      <c r="N45" s="338"/>
      <c r="O45" s="338"/>
      <c r="P45" s="340"/>
      <c r="Q45" s="340"/>
    </row>
    <row r="46" spans="1:19">
      <c r="A46" s="343"/>
      <c r="B46" s="343"/>
      <c r="C46" s="343"/>
      <c r="D46" s="343"/>
      <c r="E46" s="343"/>
      <c r="F46" s="343"/>
      <c r="G46" s="343"/>
      <c r="H46" s="343"/>
      <c r="I46" s="343"/>
      <c r="J46" s="343"/>
      <c r="K46" s="343"/>
      <c r="L46" s="343"/>
      <c r="M46" s="343"/>
      <c r="N46" s="343"/>
      <c r="O46" s="343"/>
      <c r="P46" s="340"/>
      <c r="Q46" s="340"/>
    </row>
    <row r="47" spans="1:19">
      <c r="A47" s="340"/>
      <c r="B47" s="340"/>
      <c r="C47" s="340"/>
      <c r="D47" s="340"/>
      <c r="E47" s="340"/>
      <c r="F47" s="340"/>
      <c r="G47" s="340"/>
      <c r="H47" s="340"/>
      <c r="I47" s="340"/>
      <c r="J47" s="340"/>
      <c r="K47" s="340"/>
      <c r="L47" s="340"/>
      <c r="M47" s="340"/>
      <c r="N47" s="340"/>
      <c r="O47" s="340"/>
      <c r="P47" s="340"/>
      <c r="Q47" s="340"/>
    </row>
    <row r="48" spans="1:19">
      <c r="A48" s="340"/>
      <c r="B48" s="340"/>
      <c r="C48" s="340"/>
      <c r="D48" s="340"/>
      <c r="E48" s="340"/>
      <c r="F48" s="340"/>
      <c r="G48" s="340"/>
      <c r="H48" s="340"/>
      <c r="I48" s="340"/>
      <c r="J48" s="340"/>
      <c r="K48" s="340"/>
      <c r="L48" s="340"/>
      <c r="M48" s="340"/>
      <c r="N48" s="340"/>
      <c r="O48" s="340"/>
      <c r="P48" s="340"/>
      <c r="Q48" s="340"/>
    </row>
    <row r="49" spans="1:17">
      <c r="A49" s="340"/>
      <c r="B49" s="340"/>
      <c r="C49" s="340"/>
      <c r="D49" s="340"/>
      <c r="E49" s="340"/>
      <c r="F49" s="340"/>
      <c r="G49" s="340"/>
      <c r="H49" s="340"/>
      <c r="I49" s="340"/>
      <c r="J49" s="340"/>
      <c r="K49" s="340"/>
      <c r="L49" s="340"/>
      <c r="M49" s="340"/>
      <c r="N49" s="340"/>
      <c r="O49" s="340"/>
      <c r="P49" s="340"/>
      <c r="Q49" s="340"/>
    </row>
    <row r="50" spans="1:17">
      <c r="A50" s="340"/>
      <c r="B50" s="340"/>
      <c r="C50" s="340"/>
      <c r="D50" s="340"/>
      <c r="E50" s="340"/>
      <c r="F50" s="340"/>
      <c r="G50" s="340"/>
      <c r="H50" s="340"/>
      <c r="I50" s="340"/>
      <c r="J50" s="340"/>
      <c r="K50" s="340"/>
      <c r="L50" s="340"/>
      <c r="M50" s="340"/>
      <c r="N50" s="340"/>
      <c r="O50" s="340"/>
      <c r="P50" s="340"/>
      <c r="Q50" s="340"/>
    </row>
    <row r="51" spans="1:17">
      <c r="A51" s="340"/>
      <c r="B51" s="340"/>
      <c r="C51" s="340"/>
      <c r="D51" s="340"/>
      <c r="E51" s="340"/>
      <c r="F51" s="340"/>
      <c r="G51" s="340"/>
      <c r="H51" s="340"/>
      <c r="I51" s="340"/>
      <c r="J51" s="340"/>
      <c r="K51" s="340"/>
      <c r="L51" s="340"/>
      <c r="M51" s="340"/>
      <c r="N51" s="340"/>
      <c r="O51" s="340"/>
      <c r="P51" s="340"/>
      <c r="Q51" s="340"/>
    </row>
    <row r="52" spans="1:17">
      <c r="A52" s="340"/>
      <c r="B52" s="340"/>
      <c r="C52" s="340"/>
      <c r="D52" s="340"/>
      <c r="E52" s="340"/>
      <c r="F52" s="340"/>
      <c r="G52" s="340"/>
      <c r="H52" s="340"/>
      <c r="I52" s="340"/>
      <c r="J52" s="340"/>
      <c r="K52" s="340"/>
      <c r="L52" s="340"/>
      <c r="M52" s="340"/>
      <c r="N52" s="340"/>
      <c r="O52" s="340"/>
      <c r="P52" s="340"/>
      <c r="Q52" s="340"/>
    </row>
    <row r="53" spans="1:17">
      <c r="A53" s="340"/>
      <c r="B53" s="340"/>
      <c r="C53" s="340"/>
      <c r="D53" s="340"/>
      <c r="E53" s="340"/>
      <c r="F53" s="340"/>
      <c r="G53" s="340"/>
      <c r="H53" s="340"/>
      <c r="I53" s="340"/>
      <c r="J53" s="340"/>
      <c r="K53" s="340"/>
      <c r="L53" s="340"/>
      <c r="M53" s="340"/>
      <c r="N53" s="340"/>
      <c r="O53" s="340"/>
      <c r="P53" s="340"/>
      <c r="Q53" s="340"/>
    </row>
    <row r="54" spans="1:17">
      <c r="A54" s="340"/>
      <c r="B54" s="340"/>
      <c r="C54" s="340"/>
      <c r="D54" s="340"/>
      <c r="E54" s="340"/>
      <c r="F54" s="340"/>
      <c r="G54" s="340"/>
      <c r="H54" s="340"/>
      <c r="I54" s="340"/>
      <c r="J54" s="340"/>
      <c r="K54" s="340"/>
      <c r="L54" s="340"/>
      <c r="M54" s="340"/>
      <c r="N54" s="340"/>
      <c r="O54" s="340"/>
      <c r="P54" s="340"/>
      <c r="Q54" s="340"/>
    </row>
    <row r="55" spans="1:17">
      <c r="A55" s="340"/>
      <c r="B55" s="340"/>
      <c r="C55" s="340"/>
      <c r="D55" s="340"/>
      <c r="E55" s="340"/>
      <c r="F55" s="340"/>
      <c r="G55" s="340"/>
      <c r="H55" s="340"/>
      <c r="I55" s="340"/>
      <c r="J55" s="340"/>
      <c r="K55" s="340"/>
      <c r="L55" s="340"/>
      <c r="M55" s="340"/>
      <c r="N55" s="340"/>
      <c r="O55" s="340"/>
      <c r="P55" s="340"/>
      <c r="Q55" s="340"/>
    </row>
    <row r="56" spans="1:17">
      <c r="A56" s="340"/>
      <c r="B56" s="340"/>
      <c r="C56" s="340"/>
      <c r="D56" s="340"/>
      <c r="E56" s="340"/>
      <c r="F56" s="340"/>
      <c r="G56" s="340"/>
      <c r="H56" s="340"/>
      <c r="I56" s="340"/>
      <c r="J56" s="340"/>
      <c r="K56" s="340"/>
      <c r="L56" s="340"/>
      <c r="M56" s="340"/>
      <c r="N56" s="340"/>
      <c r="O56" s="340"/>
      <c r="P56" s="340"/>
      <c r="Q56" s="340"/>
    </row>
    <row r="57" spans="1:17">
      <c r="A57" s="340"/>
      <c r="B57" s="340"/>
      <c r="C57" s="340"/>
      <c r="D57" s="340"/>
      <c r="E57" s="340"/>
      <c r="F57" s="340"/>
      <c r="G57" s="340"/>
      <c r="H57" s="340"/>
      <c r="I57" s="340"/>
      <c r="J57" s="340"/>
      <c r="K57" s="340"/>
      <c r="L57" s="340"/>
      <c r="M57" s="340"/>
      <c r="N57" s="340"/>
      <c r="O57" s="340"/>
      <c r="P57" s="340"/>
      <c r="Q57" s="340"/>
    </row>
    <row r="58" spans="1:17">
      <c r="A58" s="340"/>
      <c r="B58" s="340"/>
      <c r="C58" s="340"/>
      <c r="D58" s="340"/>
      <c r="E58" s="340"/>
      <c r="F58" s="340"/>
      <c r="G58" s="340"/>
      <c r="H58" s="340"/>
      <c r="I58" s="340"/>
      <c r="J58" s="340"/>
      <c r="K58" s="340"/>
      <c r="L58" s="340"/>
      <c r="M58" s="340"/>
      <c r="N58" s="340"/>
      <c r="O58" s="340"/>
      <c r="P58" s="340"/>
      <c r="Q58" s="340"/>
    </row>
    <row r="59" spans="1:17">
      <c r="A59" s="340"/>
      <c r="B59" s="340"/>
      <c r="C59" s="340"/>
      <c r="D59" s="340"/>
      <c r="E59" s="340"/>
      <c r="F59" s="340"/>
      <c r="G59" s="340"/>
      <c r="H59" s="340"/>
      <c r="I59" s="340"/>
      <c r="J59" s="340"/>
      <c r="K59" s="340"/>
      <c r="L59" s="340"/>
      <c r="M59" s="340"/>
      <c r="N59" s="340"/>
      <c r="O59" s="340"/>
      <c r="P59" s="340"/>
      <c r="Q59" s="340"/>
    </row>
    <row r="60" spans="1:17">
      <c r="A60" s="340"/>
      <c r="B60" s="340"/>
      <c r="C60" s="340"/>
      <c r="D60" s="340"/>
      <c r="E60" s="340"/>
      <c r="F60" s="340"/>
      <c r="G60" s="340"/>
      <c r="H60" s="340"/>
      <c r="I60" s="340"/>
      <c r="J60" s="340"/>
      <c r="K60" s="340"/>
      <c r="L60" s="340"/>
      <c r="M60" s="340"/>
      <c r="N60" s="340"/>
      <c r="O60" s="340"/>
      <c r="P60" s="340"/>
      <c r="Q60" s="340"/>
    </row>
    <row r="61" spans="1:17">
      <c r="A61" s="340"/>
      <c r="B61" s="340"/>
      <c r="C61" s="340"/>
      <c r="D61" s="340"/>
      <c r="E61" s="340"/>
      <c r="F61" s="340"/>
      <c r="G61" s="340"/>
      <c r="H61" s="340"/>
      <c r="I61" s="340"/>
      <c r="J61" s="340"/>
      <c r="K61" s="340"/>
      <c r="L61" s="340"/>
      <c r="M61" s="340"/>
      <c r="N61" s="340"/>
      <c r="O61" s="340"/>
      <c r="P61" s="340"/>
      <c r="Q61" s="340"/>
    </row>
    <row r="62" spans="1:17">
      <c r="A62" s="340"/>
      <c r="B62" s="340"/>
      <c r="C62" s="340"/>
      <c r="D62" s="340"/>
      <c r="E62" s="340"/>
      <c r="F62" s="340"/>
      <c r="G62" s="340"/>
      <c r="H62" s="340"/>
      <c r="I62" s="340"/>
      <c r="J62" s="340"/>
      <c r="K62" s="340"/>
      <c r="L62" s="340"/>
      <c r="M62" s="340"/>
      <c r="N62" s="340"/>
      <c r="O62" s="340"/>
      <c r="P62" s="340"/>
      <c r="Q62" s="340"/>
    </row>
    <row r="63" spans="1:17">
      <c r="A63" s="340"/>
      <c r="B63" s="340"/>
      <c r="C63" s="340"/>
      <c r="D63" s="340"/>
      <c r="E63" s="340"/>
      <c r="F63" s="340"/>
      <c r="G63" s="340"/>
      <c r="H63" s="340"/>
      <c r="I63" s="340"/>
      <c r="J63" s="340"/>
      <c r="K63" s="340"/>
      <c r="L63" s="340"/>
      <c r="M63" s="340"/>
      <c r="N63" s="340"/>
      <c r="O63" s="340"/>
      <c r="P63" s="340"/>
      <c r="Q63" s="340"/>
    </row>
    <row r="64" spans="1:17">
      <c r="A64" s="340"/>
      <c r="B64" s="340"/>
      <c r="C64" s="340"/>
      <c r="D64" s="340"/>
      <c r="E64" s="340"/>
      <c r="F64" s="340"/>
      <c r="G64" s="340"/>
      <c r="H64" s="340"/>
      <c r="I64" s="340"/>
      <c r="J64" s="340"/>
      <c r="K64" s="340"/>
      <c r="L64" s="340"/>
      <c r="M64" s="340"/>
      <c r="N64" s="340"/>
      <c r="O64" s="340"/>
      <c r="P64" s="340"/>
      <c r="Q64" s="340"/>
    </row>
    <row r="65" spans="1:17">
      <c r="A65" s="340"/>
      <c r="B65" s="340"/>
      <c r="C65" s="340"/>
      <c r="D65" s="340"/>
      <c r="E65" s="340"/>
      <c r="F65" s="340"/>
      <c r="G65" s="340"/>
      <c r="H65" s="340"/>
      <c r="I65" s="340"/>
      <c r="J65" s="340"/>
      <c r="K65" s="340"/>
      <c r="L65" s="340"/>
      <c r="M65" s="340"/>
      <c r="N65" s="340"/>
      <c r="O65" s="340"/>
      <c r="P65" s="340"/>
      <c r="Q65" s="340"/>
    </row>
    <row r="66" spans="1:17">
      <c r="A66" s="340"/>
      <c r="B66" s="340"/>
      <c r="C66" s="340"/>
      <c r="D66" s="340"/>
      <c r="E66" s="340"/>
      <c r="F66" s="340"/>
      <c r="G66" s="340"/>
      <c r="H66" s="340"/>
      <c r="I66" s="340"/>
      <c r="J66" s="340"/>
      <c r="K66" s="340"/>
      <c r="L66" s="340"/>
      <c r="M66" s="340"/>
      <c r="N66" s="340"/>
      <c r="O66" s="340"/>
      <c r="P66" s="340"/>
      <c r="Q66" s="340"/>
    </row>
    <row r="67" spans="1:17">
      <c r="A67" s="340"/>
      <c r="B67" s="340"/>
      <c r="C67" s="340"/>
      <c r="D67" s="340"/>
      <c r="E67" s="340"/>
      <c r="F67" s="340"/>
      <c r="G67" s="340"/>
      <c r="H67" s="340"/>
      <c r="I67" s="340"/>
      <c r="J67" s="340"/>
      <c r="K67" s="340"/>
      <c r="L67" s="340"/>
      <c r="M67" s="340"/>
      <c r="N67" s="340"/>
      <c r="O67" s="340"/>
      <c r="P67" s="340"/>
      <c r="Q67" s="340"/>
    </row>
    <row r="68" spans="1:17">
      <c r="A68" s="340"/>
      <c r="B68" s="340"/>
      <c r="C68" s="340"/>
      <c r="D68" s="340"/>
      <c r="E68" s="340"/>
      <c r="F68" s="340"/>
      <c r="G68" s="340"/>
      <c r="H68" s="340"/>
      <c r="I68" s="340"/>
      <c r="J68" s="340"/>
      <c r="K68" s="340"/>
      <c r="L68" s="340"/>
      <c r="M68" s="340"/>
      <c r="N68" s="340"/>
      <c r="O68" s="340"/>
      <c r="P68" s="340"/>
      <c r="Q68" s="340"/>
    </row>
    <row r="69" spans="1:17">
      <c r="A69" s="340"/>
      <c r="B69" s="340"/>
      <c r="C69" s="340"/>
      <c r="D69" s="340"/>
      <c r="E69" s="340"/>
      <c r="F69" s="340"/>
      <c r="G69" s="340"/>
      <c r="H69" s="340"/>
      <c r="I69" s="340"/>
      <c r="J69" s="340"/>
      <c r="K69" s="340"/>
      <c r="L69" s="340"/>
      <c r="M69" s="340"/>
      <c r="N69" s="340"/>
      <c r="O69" s="340"/>
      <c r="P69" s="340"/>
      <c r="Q69" s="340"/>
    </row>
    <row r="70" spans="1:17">
      <c r="A70" s="340"/>
      <c r="B70" s="340"/>
      <c r="C70" s="340"/>
      <c r="D70" s="340"/>
      <c r="E70" s="340"/>
      <c r="F70" s="340"/>
      <c r="G70" s="340"/>
      <c r="H70" s="340"/>
      <c r="I70" s="340"/>
      <c r="J70" s="340"/>
      <c r="K70" s="340"/>
      <c r="L70" s="340"/>
      <c r="M70" s="340"/>
      <c r="N70" s="340"/>
      <c r="O70" s="340"/>
      <c r="P70" s="340"/>
      <c r="Q70" s="340"/>
    </row>
    <row r="71" spans="1:17">
      <c r="A71" s="340"/>
      <c r="B71" s="340"/>
      <c r="C71" s="340"/>
      <c r="D71" s="340"/>
      <c r="E71" s="340"/>
      <c r="F71" s="340"/>
      <c r="G71" s="340"/>
      <c r="H71" s="340"/>
      <c r="I71" s="340"/>
      <c r="J71" s="340"/>
      <c r="K71" s="340"/>
      <c r="L71" s="340"/>
      <c r="M71" s="340"/>
      <c r="N71" s="340"/>
      <c r="O71" s="340"/>
      <c r="P71" s="340"/>
      <c r="Q71" s="340"/>
    </row>
    <row r="72" spans="1:17">
      <c r="A72" s="340"/>
      <c r="B72" s="340"/>
      <c r="C72" s="340"/>
      <c r="D72" s="340"/>
      <c r="E72" s="340"/>
      <c r="F72" s="340"/>
      <c r="G72" s="340"/>
      <c r="H72" s="340"/>
      <c r="I72" s="340"/>
      <c r="J72" s="340"/>
      <c r="K72" s="340"/>
      <c r="L72" s="340"/>
      <c r="M72" s="340"/>
      <c r="N72" s="340"/>
      <c r="O72" s="340"/>
      <c r="P72" s="340"/>
      <c r="Q72" s="340"/>
    </row>
    <row r="73" spans="1:17">
      <c r="A73" s="340"/>
      <c r="B73" s="340"/>
      <c r="C73" s="340"/>
      <c r="D73" s="340"/>
      <c r="E73" s="340"/>
      <c r="F73" s="340"/>
      <c r="G73" s="340"/>
      <c r="H73" s="340"/>
      <c r="I73" s="340"/>
      <c r="J73" s="340"/>
      <c r="K73" s="340"/>
      <c r="L73" s="340"/>
      <c r="M73" s="340"/>
      <c r="N73" s="340"/>
      <c r="O73" s="340"/>
      <c r="P73" s="340"/>
      <c r="Q73" s="340"/>
    </row>
    <row r="74" spans="1:17">
      <c r="A74" s="340"/>
      <c r="B74" s="340"/>
      <c r="C74" s="340"/>
      <c r="D74" s="340"/>
      <c r="E74" s="340"/>
      <c r="F74" s="340"/>
      <c r="G74" s="340"/>
      <c r="H74" s="340"/>
      <c r="I74" s="340"/>
      <c r="J74" s="340"/>
      <c r="K74" s="340"/>
      <c r="L74" s="340"/>
      <c r="M74" s="340"/>
      <c r="N74" s="340"/>
      <c r="O74" s="340"/>
      <c r="P74" s="340"/>
      <c r="Q74" s="340"/>
    </row>
    <row r="75" spans="1:17">
      <c r="A75" s="340"/>
      <c r="B75" s="340"/>
      <c r="C75" s="340"/>
      <c r="D75" s="340"/>
      <c r="E75" s="340"/>
      <c r="F75" s="340"/>
      <c r="G75" s="340"/>
      <c r="H75" s="340"/>
      <c r="I75" s="340"/>
      <c r="J75" s="340"/>
      <c r="K75" s="340"/>
      <c r="L75" s="340"/>
      <c r="M75" s="340"/>
      <c r="N75" s="340"/>
      <c r="O75" s="340"/>
      <c r="P75" s="340"/>
      <c r="Q75" s="340"/>
    </row>
    <row r="76" spans="1:17">
      <c r="A76" s="340"/>
      <c r="B76" s="340"/>
      <c r="C76" s="340"/>
      <c r="D76" s="340"/>
      <c r="E76" s="340"/>
      <c r="F76" s="340"/>
      <c r="G76" s="340"/>
      <c r="H76" s="340"/>
      <c r="I76" s="340"/>
      <c r="J76" s="340"/>
      <c r="K76" s="340"/>
      <c r="L76" s="340"/>
      <c r="M76" s="340"/>
      <c r="N76" s="340"/>
      <c r="O76" s="340"/>
      <c r="P76" s="340"/>
      <c r="Q76" s="340"/>
    </row>
    <row r="77" spans="1:17">
      <c r="A77" s="340"/>
      <c r="B77" s="340"/>
      <c r="C77" s="340"/>
      <c r="D77" s="340"/>
      <c r="E77" s="340"/>
      <c r="F77" s="340"/>
      <c r="G77" s="340"/>
      <c r="H77" s="340"/>
      <c r="I77" s="340"/>
      <c r="J77" s="340"/>
      <c r="K77" s="340"/>
      <c r="L77" s="340"/>
      <c r="M77" s="340"/>
      <c r="N77" s="340"/>
      <c r="O77" s="340"/>
      <c r="P77" s="340"/>
      <c r="Q77" s="340"/>
    </row>
    <row r="78" spans="1:17">
      <c r="A78" s="340"/>
      <c r="B78" s="340"/>
      <c r="C78" s="340"/>
      <c r="D78" s="340"/>
      <c r="E78" s="340"/>
      <c r="F78" s="340"/>
      <c r="G78" s="340"/>
      <c r="H78" s="340"/>
      <c r="I78" s="340"/>
      <c r="J78" s="340"/>
      <c r="K78" s="340"/>
      <c r="L78" s="340"/>
      <c r="M78" s="340"/>
      <c r="N78" s="340"/>
      <c r="O78" s="340"/>
      <c r="P78" s="340"/>
      <c r="Q78" s="340"/>
    </row>
    <row r="79" spans="1:17">
      <c r="A79" s="340"/>
      <c r="B79" s="340"/>
      <c r="C79" s="340"/>
      <c r="D79" s="340"/>
      <c r="E79" s="340"/>
      <c r="F79" s="340"/>
      <c r="G79" s="340"/>
      <c r="H79" s="340"/>
      <c r="I79" s="340"/>
      <c r="J79" s="340"/>
      <c r="K79" s="340"/>
      <c r="L79" s="340"/>
      <c r="M79" s="340"/>
      <c r="N79" s="340"/>
      <c r="O79" s="340"/>
      <c r="P79" s="340"/>
      <c r="Q79" s="340"/>
    </row>
    <row r="80" spans="1:17">
      <c r="A80" s="340"/>
      <c r="B80" s="340"/>
      <c r="C80" s="340"/>
      <c r="D80" s="340"/>
      <c r="E80" s="340"/>
      <c r="F80" s="340"/>
      <c r="G80" s="340"/>
      <c r="H80" s="340"/>
      <c r="I80" s="340"/>
      <c r="J80" s="340"/>
      <c r="K80" s="340"/>
      <c r="L80" s="340"/>
      <c r="M80" s="340"/>
      <c r="N80" s="340"/>
      <c r="O80" s="340"/>
      <c r="P80" s="340"/>
      <c r="Q80" s="340"/>
    </row>
    <row r="81" spans="1:17">
      <c r="A81" s="340"/>
      <c r="B81" s="340"/>
      <c r="C81" s="340"/>
      <c r="D81" s="340"/>
      <c r="E81" s="340"/>
      <c r="F81" s="340"/>
      <c r="G81" s="340"/>
      <c r="H81" s="340"/>
      <c r="I81" s="340"/>
      <c r="J81" s="340"/>
      <c r="K81" s="340"/>
      <c r="L81" s="340"/>
      <c r="M81" s="340"/>
      <c r="N81" s="340"/>
      <c r="O81" s="340"/>
      <c r="P81" s="340"/>
      <c r="Q81" s="340"/>
    </row>
    <row r="82" spans="1:17">
      <c r="A82" s="340"/>
      <c r="B82" s="340"/>
      <c r="C82" s="340"/>
      <c r="D82" s="340"/>
      <c r="E82" s="340"/>
      <c r="F82" s="340"/>
      <c r="G82" s="340"/>
      <c r="H82" s="340"/>
      <c r="I82" s="340"/>
      <c r="J82" s="340"/>
      <c r="K82" s="340"/>
      <c r="L82" s="340"/>
      <c r="M82" s="340"/>
      <c r="N82" s="340"/>
      <c r="O82" s="340"/>
      <c r="P82" s="340"/>
      <c r="Q82" s="340"/>
    </row>
    <row r="83" spans="1:17">
      <c r="A83" s="340"/>
      <c r="B83" s="340"/>
      <c r="C83" s="340"/>
      <c r="D83" s="340"/>
      <c r="E83" s="340"/>
      <c r="F83" s="340"/>
      <c r="G83" s="340"/>
      <c r="H83" s="340"/>
      <c r="I83" s="340"/>
      <c r="J83" s="340"/>
      <c r="K83" s="340"/>
      <c r="L83" s="340"/>
      <c r="M83" s="340"/>
      <c r="N83" s="340"/>
      <c r="O83" s="340"/>
      <c r="P83" s="340"/>
      <c r="Q83" s="340"/>
    </row>
    <row r="84" spans="1:17">
      <c r="A84" s="340"/>
      <c r="B84" s="340"/>
      <c r="C84" s="340"/>
      <c r="D84" s="340"/>
      <c r="E84" s="340"/>
      <c r="F84" s="340"/>
      <c r="G84" s="340"/>
      <c r="H84" s="340"/>
      <c r="I84" s="340"/>
      <c r="J84" s="340"/>
      <c r="K84" s="340"/>
      <c r="L84" s="340"/>
      <c r="M84" s="340"/>
      <c r="N84" s="340"/>
      <c r="O84" s="340"/>
      <c r="P84" s="340"/>
      <c r="Q84" s="340"/>
    </row>
    <row r="85" spans="1:17">
      <c r="A85" s="340"/>
      <c r="B85" s="340"/>
      <c r="C85" s="340"/>
      <c r="D85" s="340"/>
      <c r="E85" s="340"/>
      <c r="F85" s="340"/>
      <c r="G85" s="340"/>
      <c r="H85" s="340"/>
      <c r="I85" s="340"/>
      <c r="J85" s="340"/>
      <c r="K85" s="340"/>
      <c r="L85" s="340"/>
      <c r="M85" s="340"/>
      <c r="N85" s="340"/>
      <c r="O85" s="340"/>
      <c r="P85" s="340"/>
      <c r="Q85" s="340"/>
    </row>
    <row r="86" spans="1:17">
      <c r="A86" s="340"/>
      <c r="B86" s="340"/>
      <c r="C86" s="340"/>
      <c r="D86" s="340"/>
      <c r="E86" s="340"/>
      <c r="F86" s="340"/>
      <c r="G86" s="340"/>
      <c r="H86" s="340"/>
      <c r="I86" s="340"/>
      <c r="J86" s="340"/>
      <c r="K86" s="340"/>
      <c r="L86" s="340"/>
      <c r="M86" s="340"/>
      <c r="N86" s="340"/>
      <c r="O86" s="340"/>
      <c r="P86" s="340"/>
      <c r="Q86" s="340"/>
    </row>
    <row r="87" spans="1:17">
      <c r="A87" s="340"/>
      <c r="B87" s="340"/>
      <c r="C87" s="340"/>
      <c r="D87" s="340"/>
      <c r="E87" s="340"/>
      <c r="F87" s="340"/>
      <c r="G87" s="340"/>
      <c r="H87" s="340"/>
      <c r="I87" s="340"/>
      <c r="J87" s="340"/>
      <c r="K87" s="340"/>
      <c r="L87" s="340"/>
      <c r="M87" s="340"/>
      <c r="N87" s="340"/>
      <c r="O87" s="340"/>
      <c r="P87" s="340"/>
      <c r="Q87" s="340"/>
    </row>
    <row r="88" spans="1:17">
      <c r="A88" s="340"/>
      <c r="B88" s="340"/>
      <c r="C88" s="340"/>
      <c r="D88" s="340"/>
      <c r="E88" s="340"/>
      <c r="F88" s="340"/>
      <c r="G88" s="340"/>
      <c r="H88" s="340"/>
      <c r="I88" s="340"/>
      <c r="J88" s="340"/>
      <c r="K88" s="340"/>
      <c r="L88" s="340"/>
      <c r="M88" s="340"/>
      <c r="N88" s="340"/>
      <c r="O88" s="340"/>
      <c r="P88" s="340"/>
      <c r="Q88" s="340"/>
    </row>
    <row r="89" spans="1:17">
      <c r="A89" s="340"/>
      <c r="B89" s="340"/>
      <c r="C89" s="340"/>
      <c r="D89" s="340"/>
      <c r="E89" s="340"/>
      <c r="F89" s="340"/>
      <c r="G89" s="340"/>
      <c r="H89" s="340"/>
      <c r="I89" s="340"/>
      <c r="J89" s="340"/>
      <c r="K89" s="340"/>
      <c r="L89" s="340"/>
      <c r="M89" s="340"/>
      <c r="N89" s="340"/>
      <c r="O89" s="340"/>
      <c r="P89" s="340"/>
      <c r="Q89" s="340"/>
    </row>
    <row r="90" spans="1:17">
      <c r="A90" s="340"/>
      <c r="B90" s="340"/>
      <c r="C90" s="340"/>
      <c r="D90" s="340"/>
      <c r="E90" s="340"/>
      <c r="F90" s="340"/>
      <c r="G90" s="340"/>
      <c r="H90" s="340"/>
      <c r="I90" s="340"/>
      <c r="J90" s="340"/>
      <c r="K90" s="340"/>
      <c r="L90" s="340"/>
      <c r="M90" s="340"/>
      <c r="N90" s="340"/>
      <c r="O90" s="340"/>
      <c r="P90" s="340"/>
      <c r="Q90" s="340"/>
    </row>
    <row r="91" spans="1:17">
      <c r="A91" s="340"/>
      <c r="B91" s="340"/>
      <c r="C91" s="340"/>
      <c r="D91" s="340"/>
      <c r="E91" s="340"/>
      <c r="F91" s="340"/>
      <c r="G91" s="340"/>
      <c r="H91" s="340"/>
      <c r="I91" s="340"/>
      <c r="J91" s="340"/>
      <c r="K91" s="340"/>
      <c r="L91" s="340"/>
      <c r="M91" s="340"/>
      <c r="N91" s="340"/>
      <c r="O91" s="340"/>
      <c r="P91" s="340"/>
      <c r="Q91" s="340"/>
    </row>
    <row r="92" spans="1:17">
      <c r="A92" s="340"/>
      <c r="B92" s="340"/>
      <c r="C92" s="340"/>
      <c r="D92" s="340"/>
      <c r="E92" s="340"/>
      <c r="F92" s="340"/>
      <c r="G92" s="340"/>
      <c r="H92" s="340"/>
      <c r="I92" s="340"/>
      <c r="J92" s="340"/>
      <c r="K92" s="340"/>
      <c r="L92" s="340"/>
      <c r="M92" s="340"/>
      <c r="N92" s="340"/>
      <c r="O92" s="340"/>
      <c r="P92" s="340"/>
      <c r="Q92" s="340"/>
    </row>
    <row r="93" spans="1:17">
      <c r="A93" s="340"/>
      <c r="B93" s="340"/>
      <c r="C93" s="340"/>
      <c r="D93" s="340"/>
      <c r="E93" s="340"/>
      <c r="F93" s="340"/>
      <c r="G93" s="340"/>
      <c r="H93" s="340"/>
      <c r="I93" s="340"/>
      <c r="J93" s="340"/>
      <c r="K93" s="340"/>
      <c r="L93" s="340"/>
      <c r="M93" s="340"/>
      <c r="N93" s="340"/>
      <c r="O93" s="340"/>
      <c r="P93" s="340"/>
      <c r="Q93" s="340"/>
    </row>
    <row r="94" spans="1:17">
      <c r="A94" s="340"/>
      <c r="B94" s="340"/>
      <c r="C94" s="340"/>
      <c r="D94" s="340"/>
      <c r="E94" s="340"/>
      <c r="F94" s="340"/>
      <c r="G94" s="340"/>
      <c r="H94" s="340"/>
      <c r="I94" s="340"/>
      <c r="J94" s="340"/>
      <c r="K94" s="340"/>
      <c r="L94" s="340"/>
      <c r="M94" s="340"/>
      <c r="N94" s="340"/>
      <c r="O94" s="340"/>
      <c r="P94" s="340"/>
      <c r="Q94" s="340"/>
    </row>
    <row r="95" spans="1:17">
      <c r="A95" s="340"/>
      <c r="B95" s="340"/>
      <c r="C95" s="340"/>
      <c r="D95" s="340"/>
      <c r="E95" s="340"/>
      <c r="F95" s="340"/>
      <c r="G95" s="340"/>
      <c r="H95" s="340"/>
      <c r="I95" s="340"/>
      <c r="J95" s="340"/>
      <c r="K95" s="340"/>
      <c r="L95" s="340"/>
      <c r="M95" s="340"/>
      <c r="N95" s="340"/>
      <c r="O95" s="340"/>
      <c r="P95" s="340"/>
      <c r="Q95" s="340"/>
    </row>
    <row r="96" spans="1:17">
      <c r="A96" s="340"/>
      <c r="B96" s="340"/>
      <c r="C96" s="340"/>
      <c r="D96" s="340"/>
      <c r="E96" s="340"/>
      <c r="F96" s="340"/>
      <c r="G96" s="340"/>
      <c r="H96" s="340"/>
      <c r="I96" s="340"/>
      <c r="J96" s="340"/>
      <c r="K96" s="340"/>
      <c r="L96" s="340"/>
      <c r="M96" s="340"/>
      <c r="N96" s="340"/>
      <c r="O96" s="340"/>
      <c r="P96" s="340"/>
      <c r="Q96" s="340"/>
    </row>
    <row r="97" spans="1:17">
      <c r="A97" s="340"/>
      <c r="B97" s="340"/>
      <c r="C97" s="340"/>
      <c r="D97" s="340"/>
      <c r="E97" s="340"/>
      <c r="F97" s="340"/>
      <c r="G97" s="340"/>
      <c r="H97" s="340"/>
      <c r="I97" s="340"/>
      <c r="J97" s="340"/>
      <c r="K97" s="340"/>
      <c r="L97" s="340"/>
      <c r="M97" s="340"/>
      <c r="N97" s="340"/>
      <c r="O97" s="340"/>
      <c r="P97" s="340"/>
      <c r="Q97" s="340"/>
    </row>
    <row r="98" spans="1:17">
      <c r="A98" s="340"/>
      <c r="B98" s="340"/>
      <c r="C98" s="340"/>
      <c r="D98" s="340"/>
      <c r="E98" s="340"/>
      <c r="F98" s="340"/>
      <c r="G98" s="340"/>
      <c r="H98" s="340"/>
      <c r="I98" s="340"/>
      <c r="J98" s="340"/>
      <c r="K98" s="340"/>
      <c r="L98" s="340"/>
      <c r="M98" s="340"/>
      <c r="N98" s="340"/>
      <c r="O98" s="340"/>
      <c r="P98" s="340"/>
      <c r="Q98" s="340"/>
    </row>
    <row r="99" spans="1:17">
      <c r="A99" s="340"/>
      <c r="B99" s="340"/>
      <c r="C99" s="340"/>
      <c r="D99" s="340"/>
      <c r="E99" s="340"/>
      <c r="F99" s="340"/>
      <c r="G99" s="340"/>
      <c r="H99" s="340"/>
      <c r="I99" s="340"/>
      <c r="J99" s="340"/>
      <c r="K99" s="340"/>
      <c r="L99" s="340"/>
      <c r="M99" s="340"/>
      <c r="N99" s="340"/>
      <c r="O99" s="340"/>
      <c r="P99" s="340"/>
      <c r="Q99" s="340"/>
    </row>
    <row r="100" spans="1:17">
      <c r="A100" s="340"/>
      <c r="B100" s="340"/>
      <c r="C100" s="340"/>
      <c r="D100" s="340"/>
      <c r="E100" s="340"/>
      <c r="F100" s="340"/>
      <c r="G100" s="340"/>
      <c r="H100" s="340"/>
      <c r="I100" s="340"/>
      <c r="J100" s="340"/>
      <c r="K100" s="340"/>
      <c r="L100" s="340"/>
      <c r="M100" s="340"/>
      <c r="N100" s="340"/>
      <c r="O100" s="340"/>
      <c r="P100" s="340"/>
      <c r="Q100" s="340"/>
    </row>
    <row r="101" spans="1:17">
      <c r="A101" s="340"/>
      <c r="B101" s="340"/>
      <c r="C101" s="340"/>
      <c r="D101" s="340"/>
      <c r="E101" s="340"/>
      <c r="F101" s="340"/>
      <c r="G101" s="340"/>
      <c r="H101" s="340"/>
      <c r="I101" s="340"/>
      <c r="J101" s="340"/>
      <c r="K101" s="340"/>
      <c r="L101" s="340"/>
      <c r="M101" s="340"/>
      <c r="N101" s="340"/>
      <c r="O101" s="340"/>
      <c r="P101" s="340"/>
      <c r="Q101" s="340"/>
    </row>
    <row r="102" spans="1:17">
      <c r="A102" s="340"/>
      <c r="B102" s="340"/>
      <c r="C102" s="340"/>
      <c r="D102" s="340"/>
      <c r="E102" s="340"/>
      <c r="F102" s="340"/>
      <c r="G102" s="340"/>
      <c r="H102" s="340"/>
      <c r="I102" s="340"/>
      <c r="J102" s="340"/>
      <c r="K102" s="340"/>
      <c r="L102" s="340"/>
      <c r="M102" s="340"/>
      <c r="N102" s="340"/>
      <c r="O102" s="340"/>
      <c r="P102" s="340"/>
      <c r="Q102" s="340"/>
    </row>
    <row r="103" spans="1:17">
      <c r="A103" s="340"/>
      <c r="B103" s="340"/>
      <c r="C103" s="340"/>
      <c r="D103" s="340"/>
      <c r="E103" s="340"/>
      <c r="F103" s="340"/>
      <c r="G103" s="340"/>
      <c r="H103" s="340"/>
      <c r="I103" s="340"/>
      <c r="J103" s="340"/>
      <c r="K103" s="340"/>
      <c r="L103" s="340"/>
      <c r="M103" s="340"/>
      <c r="N103" s="340"/>
      <c r="O103" s="340"/>
      <c r="P103" s="340"/>
      <c r="Q103" s="340"/>
    </row>
    <row r="104" spans="1:17">
      <c r="A104" s="340"/>
      <c r="B104" s="340"/>
      <c r="C104" s="340"/>
      <c r="D104" s="340"/>
      <c r="E104" s="340"/>
      <c r="F104" s="340"/>
      <c r="G104" s="340"/>
      <c r="H104" s="340"/>
      <c r="I104" s="340"/>
      <c r="J104" s="340"/>
      <c r="K104" s="340"/>
      <c r="L104" s="340"/>
      <c r="M104" s="340"/>
      <c r="N104" s="340"/>
      <c r="O104" s="340"/>
      <c r="P104" s="340"/>
      <c r="Q104" s="340"/>
    </row>
    <row r="105" spans="1:17">
      <c r="A105" s="340"/>
      <c r="B105" s="340"/>
      <c r="C105" s="340"/>
      <c r="D105" s="340"/>
      <c r="E105" s="340"/>
      <c r="F105" s="340"/>
      <c r="G105" s="340"/>
      <c r="H105" s="340"/>
      <c r="I105" s="340"/>
      <c r="J105" s="340"/>
      <c r="K105" s="340"/>
      <c r="L105" s="340"/>
      <c r="M105" s="340"/>
      <c r="N105" s="340"/>
      <c r="O105" s="340"/>
      <c r="P105" s="340"/>
      <c r="Q105" s="340"/>
    </row>
    <row r="106" spans="1:17">
      <c r="A106" s="340"/>
      <c r="B106" s="340"/>
      <c r="C106" s="340"/>
      <c r="D106" s="340"/>
      <c r="E106" s="340"/>
      <c r="F106" s="340"/>
      <c r="G106" s="340"/>
      <c r="H106" s="340"/>
      <c r="I106" s="340"/>
      <c r="J106" s="340"/>
      <c r="K106" s="340"/>
      <c r="L106" s="340"/>
      <c r="M106" s="340"/>
      <c r="N106" s="340"/>
      <c r="O106" s="340"/>
      <c r="P106" s="340"/>
      <c r="Q106" s="340"/>
    </row>
    <row r="107" spans="1:17">
      <c r="A107" s="340"/>
      <c r="B107" s="340"/>
      <c r="C107" s="340"/>
      <c r="D107" s="340"/>
      <c r="E107" s="340"/>
      <c r="F107" s="340"/>
      <c r="G107" s="340"/>
      <c r="H107" s="340"/>
      <c r="I107" s="340"/>
      <c r="J107" s="340"/>
      <c r="K107" s="340"/>
      <c r="L107" s="340"/>
      <c r="M107" s="340"/>
      <c r="N107" s="340"/>
      <c r="O107" s="340"/>
      <c r="P107" s="340"/>
      <c r="Q107" s="340"/>
    </row>
    <row r="108" spans="1:17">
      <c r="A108" s="340"/>
      <c r="B108" s="340"/>
      <c r="C108" s="340"/>
      <c r="D108" s="340"/>
      <c r="E108" s="340"/>
      <c r="F108" s="340"/>
      <c r="G108" s="340"/>
      <c r="H108" s="340"/>
      <c r="I108" s="340"/>
      <c r="J108" s="340"/>
      <c r="K108" s="340"/>
      <c r="L108" s="340"/>
      <c r="M108" s="340"/>
      <c r="N108" s="340"/>
      <c r="O108" s="340"/>
      <c r="P108" s="340"/>
      <c r="Q108" s="340"/>
    </row>
    <row r="109" spans="1:17">
      <c r="A109" s="340"/>
      <c r="B109" s="340"/>
      <c r="C109" s="340"/>
      <c r="D109" s="340"/>
      <c r="E109" s="340"/>
      <c r="F109" s="340"/>
      <c r="G109" s="340"/>
      <c r="H109" s="340"/>
      <c r="I109" s="340"/>
      <c r="J109" s="340"/>
      <c r="K109" s="340"/>
      <c r="L109" s="340"/>
      <c r="M109" s="340"/>
      <c r="N109" s="340"/>
      <c r="O109" s="340"/>
      <c r="P109" s="340"/>
      <c r="Q109" s="340"/>
    </row>
    <row r="110" spans="1:17">
      <c r="A110" s="340"/>
      <c r="B110" s="340"/>
      <c r="C110" s="340"/>
      <c r="D110" s="340"/>
      <c r="E110" s="340"/>
      <c r="F110" s="340"/>
      <c r="G110" s="340"/>
      <c r="H110" s="340"/>
      <c r="I110" s="340"/>
      <c r="J110" s="340"/>
      <c r="K110" s="340"/>
      <c r="L110" s="340"/>
      <c r="M110" s="340"/>
      <c r="N110" s="340"/>
      <c r="O110" s="340"/>
      <c r="P110" s="340"/>
      <c r="Q110" s="340"/>
    </row>
    <row r="111" spans="1:17">
      <c r="A111" s="340"/>
      <c r="B111" s="340"/>
      <c r="C111" s="340"/>
      <c r="D111" s="340"/>
      <c r="E111" s="340"/>
      <c r="F111" s="340"/>
      <c r="G111" s="340"/>
      <c r="H111" s="340"/>
      <c r="I111" s="340"/>
      <c r="J111" s="340"/>
      <c r="K111" s="340"/>
      <c r="L111" s="340"/>
      <c r="M111" s="340"/>
      <c r="N111" s="340"/>
      <c r="O111" s="340"/>
      <c r="P111" s="340"/>
      <c r="Q111" s="340"/>
    </row>
    <row r="112" spans="1:17">
      <c r="A112" s="340"/>
      <c r="B112" s="340"/>
      <c r="C112" s="340"/>
      <c r="D112" s="340"/>
      <c r="E112" s="340"/>
      <c r="F112" s="340"/>
      <c r="G112" s="340"/>
      <c r="H112" s="340"/>
      <c r="I112" s="340"/>
      <c r="J112" s="340"/>
      <c r="K112" s="340"/>
      <c r="L112" s="340"/>
      <c r="M112" s="340"/>
      <c r="N112" s="340"/>
      <c r="O112" s="340"/>
      <c r="P112" s="340"/>
      <c r="Q112" s="340"/>
    </row>
    <row r="113" spans="1:17">
      <c r="A113" s="340"/>
      <c r="B113" s="340"/>
      <c r="C113" s="340"/>
      <c r="D113" s="340"/>
      <c r="E113" s="340"/>
      <c r="F113" s="340"/>
      <c r="G113" s="340"/>
      <c r="H113" s="340"/>
      <c r="I113" s="340"/>
      <c r="J113" s="340"/>
      <c r="K113" s="340"/>
      <c r="L113" s="340"/>
      <c r="M113" s="340"/>
      <c r="N113" s="340"/>
      <c r="O113" s="340"/>
      <c r="P113" s="340"/>
      <c r="Q113" s="340"/>
    </row>
    <row r="114" spans="1:17">
      <c r="A114" s="340"/>
      <c r="B114" s="340"/>
      <c r="C114" s="340"/>
      <c r="D114" s="340"/>
      <c r="E114" s="340"/>
      <c r="F114" s="340"/>
      <c r="G114" s="340"/>
      <c r="H114" s="340"/>
      <c r="I114" s="340"/>
      <c r="J114" s="340"/>
      <c r="K114" s="340"/>
      <c r="L114" s="340"/>
      <c r="M114" s="340"/>
      <c r="N114" s="340"/>
      <c r="O114" s="340"/>
      <c r="P114" s="340"/>
      <c r="Q114" s="340"/>
    </row>
    <row r="115" spans="1:17">
      <c r="A115" s="340"/>
      <c r="B115" s="340"/>
      <c r="C115" s="340"/>
      <c r="D115" s="340"/>
      <c r="E115" s="340"/>
      <c r="F115" s="340"/>
      <c r="G115" s="340"/>
      <c r="H115" s="340"/>
      <c r="I115" s="340"/>
      <c r="J115" s="340"/>
      <c r="K115" s="340"/>
      <c r="L115" s="340"/>
      <c r="M115" s="340"/>
      <c r="N115" s="340"/>
      <c r="O115" s="340"/>
      <c r="P115" s="340"/>
      <c r="Q115" s="340"/>
    </row>
    <row r="116" spans="1:17">
      <c r="A116" s="340"/>
      <c r="B116" s="340"/>
      <c r="C116" s="340"/>
      <c r="D116" s="340"/>
      <c r="E116" s="340"/>
      <c r="F116" s="340"/>
      <c r="G116" s="340"/>
      <c r="H116" s="340"/>
      <c r="I116" s="340"/>
      <c r="J116" s="340"/>
      <c r="K116" s="340"/>
      <c r="L116" s="340"/>
      <c r="M116" s="340"/>
      <c r="N116" s="340"/>
      <c r="O116" s="340"/>
      <c r="P116" s="340"/>
      <c r="Q116" s="340"/>
    </row>
    <row r="117" spans="1:17">
      <c r="A117" s="340"/>
      <c r="B117" s="340"/>
      <c r="C117" s="340"/>
      <c r="D117" s="340"/>
      <c r="E117" s="340"/>
      <c r="F117" s="340"/>
      <c r="G117" s="340"/>
      <c r="H117" s="340"/>
      <c r="I117" s="340"/>
      <c r="J117" s="340"/>
      <c r="K117" s="340"/>
      <c r="L117" s="340"/>
      <c r="M117" s="340"/>
      <c r="N117" s="340"/>
      <c r="O117" s="340"/>
      <c r="P117" s="340"/>
      <c r="Q117" s="340"/>
    </row>
    <row r="118" spans="1:17">
      <c r="A118" s="340"/>
      <c r="B118" s="340"/>
      <c r="C118" s="340"/>
      <c r="D118" s="340"/>
      <c r="E118" s="340"/>
      <c r="F118" s="340"/>
      <c r="G118" s="340"/>
      <c r="H118" s="340"/>
      <c r="I118" s="340"/>
      <c r="J118" s="340"/>
      <c r="K118" s="340"/>
      <c r="L118" s="340"/>
      <c r="M118" s="340"/>
      <c r="N118" s="340"/>
      <c r="O118" s="340"/>
      <c r="P118" s="340"/>
      <c r="Q118" s="340"/>
    </row>
    <row r="119" spans="1:17">
      <c r="A119" s="340"/>
      <c r="B119" s="340"/>
      <c r="C119" s="340"/>
      <c r="D119" s="340"/>
      <c r="E119" s="340"/>
      <c r="F119" s="340"/>
      <c r="G119" s="340"/>
      <c r="H119" s="340"/>
      <c r="I119" s="340"/>
      <c r="J119" s="340"/>
      <c r="K119" s="340"/>
      <c r="L119" s="340"/>
      <c r="M119" s="340"/>
      <c r="N119" s="340"/>
      <c r="O119" s="340"/>
      <c r="P119" s="340"/>
      <c r="Q119" s="340"/>
    </row>
    <row r="120" spans="1:17">
      <c r="A120" s="340"/>
      <c r="B120" s="340"/>
      <c r="C120" s="340"/>
      <c r="D120" s="340"/>
      <c r="E120" s="340"/>
      <c r="F120" s="340"/>
      <c r="G120" s="340"/>
      <c r="H120" s="340"/>
      <c r="I120" s="340"/>
      <c r="J120" s="340"/>
      <c r="K120" s="340"/>
      <c r="L120" s="340"/>
      <c r="M120" s="340"/>
      <c r="N120" s="340"/>
      <c r="O120" s="340"/>
      <c r="P120" s="340"/>
      <c r="Q120" s="340"/>
    </row>
    <row r="121" spans="1:17">
      <c r="A121" s="340"/>
      <c r="B121" s="340"/>
      <c r="C121" s="340"/>
      <c r="D121" s="340"/>
      <c r="E121" s="340"/>
      <c r="F121" s="340"/>
      <c r="G121" s="340"/>
      <c r="H121" s="340"/>
      <c r="I121" s="340"/>
      <c r="J121" s="340"/>
      <c r="K121" s="340"/>
      <c r="L121" s="340"/>
      <c r="M121" s="340"/>
      <c r="N121" s="340"/>
      <c r="O121" s="340"/>
      <c r="P121" s="340"/>
      <c r="Q121" s="340"/>
    </row>
    <row r="122" spans="1:17">
      <c r="A122" s="340"/>
      <c r="B122" s="340"/>
      <c r="C122" s="340"/>
      <c r="D122" s="340"/>
      <c r="E122" s="340"/>
      <c r="F122" s="340"/>
      <c r="G122" s="340"/>
      <c r="H122" s="340"/>
      <c r="I122" s="340"/>
      <c r="J122" s="340"/>
      <c r="K122" s="340"/>
      <c r="L122" s="340"/>
      <c r="M122" s="340"/>
      <c r="N122" s="340"/>
      <c r="O122" s="340"/>
      <c r="P122" s="340"/>
      <c r="Q122" s="340"/>
    </row>
    <row r="123" spans="1:17">
      <c r="A123" s="340"/>
      <c r="B123" s="340"/>
      <c r="C123" s="340"/>
      <c r="D123" s="340"/>
      <c r="E123" s="340"/>
      <c r="F123" s="340"/>
      <c r="G123" s="340"/>
      <c r="H123" s="340"/>
      <c r="I123" s="340"/>
      <c r="J123" s="340"/>
      <c r="K123" s="340"/>
      <c r="L123" s="340"/>
      <c r="M123" s="340"/>
      <c r="N123" s="340"/>
      <c r="O123" s="340"/>
      <c r="P123" s="340"/>
      <c r="Q123" s="340"/>
    </row>
    <row r="124" spans="1:17">
      <c r="A124" s="340"/>
      <c r="B124" s="340"/>
      <c r="C124" s="340"/>
      <c r="D124" s="340"/>
      <c r="E124" s="340"/>
      <c r="F124" s="340"/>
      <c r="G124" s="340"/>
      <c r="H124" s="340"/>
      <c r="I124" s="340"/>
      <c r="J124" s="340"/>
      <c r="K124" s="340"/>
      <c r="L124" s="340"/>
      <c r="M124" s="340"/>
      <c r="N124" s="340"/>
      <c r="O124" s="340"/>
      <c r="P124" s="340"/>
      <c r="Q124" s="340"/>
    </row>
    <row r="125" spans="1:17">
      <c r="A125" s="340"/>
      <c r="B125" s="340"/>
      <c r="C125" s="340"/>
      <c r="D125" s="340"/>
      <c r="E125" s="340"/>
      <c r="F125" s="340"/>
      <c r="G125" s="340"/>
      <c r="H125" s="340"/>
      <c r="I125" s="340"/>
      <c r="J125" s="340"/>
      <c r="K125" s="340"/>
      <c r="L125" s="340"/>
      <c r="M125" s="340"/>
      <c r="N125" s="340"/>
      <c r="O125" s="340"/>
      <c r="P125" s="340"/>
      <c r="Q125" s="340"/>
    </row>
    <row r="126" spans="1:17">
      <c r="A126" s="340"/>
      <c r="B126" s="340"/>
      <c r="C126" s="340"/>
      <c r="D126" s="340"/>
      <c r="E126" s="340"/>
      <c r="F126" s="340"/>
      <c r="G126" s="340"/>
      <c r="H126" s="340"/>
      <c r="I126" s="340"/>
      <c r="J126" s="340"/>
      <c r="K126" s="340"/>
      <c r="L126" s="340"/>
      <c r="M126" s="340"/>
      <c r="N126" s="340"/>
      <c r="O126" s="340"/>
      <c r="P126" s="340"/>
      <c r="Q126" s="340"/>
    </row>
    <row r="127" spans="1:17">
      <c r="A127" s="340"/>
      <c r="B127" s="340"/>
      <c r="C127" s="340"/>
      <c r="D127" s="340"/>
      <c r="E127" s="340"/>
      <c r="F127" s="340"/>
      <c r="G127" s="340"/>
      <c r="H127" s="340"/>
      <c r="I127" s="340"/>
      <c r="J127" s="340"/>
      <c r="K127" s="340"/>
      <c r="L127" s="340"/>
      <c r="M127" s="340"/>
      <c r="N127" s="340"/>
      <c r="O127" s="340"/>
      <c r="P127" s="340"/>
      <c r="Q127" s="340"/>
    </row>
    <row r="128" spans="1:17">
      <c r="A128" s="340"/>
      <c r="B128" s="340"/>
      <c r="C128" s="340"/>
      <c r="D128" s="340"/>
      <c r="E128" s="340"/>
      <c r="F128" s="340"/>
      <c r="G128" s="340"/>
      <c r="H128" s="340"/>
      <c r="I128" s="340"/>
      <c r="J128" s="340"/>
      <c r="K128" s="340"/>
      <c r="L128" s="340"/>
      <c r="M128" s="340"/>
      <c r="N128" s="340"/>
      <c r="O128" s="340"/>
      <c r="P128" s="340"/>
      <c r="Q128" s="340"/>
    </row>
    <row r="129" spans="1:17">
      <c r="A129" s="340"/>
      <c r="B129" s="340"/>
      <c r="C129" s="340"/>
      <c r="D129" s="340"/>
      <c r="E129" s="340"/>
      <c r="F129" s="340"/>
      <c r="G129" s="340"/>
      <c r="H129" s="340"/>
      <c r="I129" s="340"/>
      <c r="J129" s="340"/>
      <c r="K129" s="340"/>
      <c r="L129" s="340"/>
      <c r="M129" s="340"/>
      <c r="N129" s="340"/>
      <c r="O129" s="340"/>
      <c r="P129" s="340"/>
      <c r="Q129" s="340"/>
    </row>
    <row r="130" spans="1:17">
      <c r="A130" s="340"/>
      <c r="B130" s="340"/>
      <c r="C130" s="340"/>
      <c r="D130" s="340"/>
      <c r="E130" s="340"/>
      <c r="F130" s="340"/>
      <c r="G130" s="340"/>
      <c r="H130" s="340"/>
      <c r="I130" s="340"/>
      <c r="J130" s="340"/>
      <c r="K130" s="340"/>
      <c r="L130" s="340"/>
      <c r="M130" s="340"/>
      <c r="N130" s="340"/>
      <c r="O130" s="340"/>
      <c r="P130" s="340"/>
      <c r="Q130" s="340"/>
    </row>
    <row r="131" spans="1:17">
      <c r="A131" s="340"/>
      <c r="B131" s="340"/>
      <c r="C131" s="340"/>
      <c r="D131" s="340"/>
      <c r="E131" s="340"/>
      <c r="F131" s="340"/>
      <c r="G131" s="340"/>
      <c r="H131" s="340"/>
      <c r="I131" s="340"/>
      <c r="J131" s="340"/>
      <c r="K131" s="340"/>
      <c r="L131" s="340"/>
      <c r="M131" s="340"/>
      <c r="N131" s="340"/>
      <c r="O131" s="340"/>
      <c r="P131" s="340"/>
      <c r="Q131" s="340"/>
    </row>
    <row r="132" spans="1:17">
      <c r="A132" s="340"/>
      <c r="B132" s="340"/>
      <c r="C132" s="340"/>
      <c r="D132" s="340"/>
      <c r="E132" s="340"/>
      <c r="F132" s="340"/>
      <c r="G132" s="340"/>
      <c r="H132" s="340"/>
      <c r="I132" s="340"/>
      <c r="J132" s="340"/>
      <c r="K132" s="340"/>
      <c r="L132" s="340"/>
      <c r="M132" s="340"/>
      <c r="N132" s="340"/>
      <c r="O132" s="340"/>
      <c r="P132" s="340"/>
      <c r="Q132" s="340"/>
    </row>
    <row r="133" spans="1:17">
      <c r="A133" s="340"/>
      <c r="B133" s="340"/>
      <c r="C133" s="340"/>
      <c r="D133" s="340"/>
      <c r="E133" s="340"/>
      <c r="F133" s="340"/>
      <c r="G133" s="340"/>
      <c r="H133" s="340"/>
      <c r="I133" s="340"/>
      <c r="J133" s="340"/>
      <c r="K133" s="340"/>
      <c r="L133" s="340"/>
      <c r="M133" s="340"/>
      <c r="N133" s="340"/>
      <c r="O133" s="340"/>
      <c r="P133" s="340"/>
      <c r="Q133" s="340"/>
    </row>
    <row r="134" spans="1:17">
      <c r="A134" s="340"/>
      <c r="B134" s="340"/>
      <c r="C134" s="340"/>
      <c r="D134" s="340"/>
      <c r="E134" s="340"/>
      <c r="F134" s="340"/>
      <c r="G134" s="340"/>
      <c r="H134" s="340"/>
      <c r="I134" s="340"/>
      <c r="J134" s="340"/>
      <c r="K134" s="340"/>
      <c r="L134" s="340"/>
      <c r="M134" s="340"/>
      <c r="N134" s="340"/>
      <c r="O134" s="340"/>
      <c r="P134" s="340"/>
      <c r="Q134" s="340"/>
    </row>
  </sheetData>
  <customSheetViews>
    <customSheetView guid="{746490BF-9C44-4B41-8803-BEC9E453576A}" hiddenColumns="1">
      <pane xSplit="2" ySplit="1" topLeftCell="C2" activePane="bottomRight" state="frozen"/>
      <selection pane="bottomRight" activeCell="C2" sqref="C2"/>
      <pageMargins left="0.7" right="0.7" top="0.75" bottom="0.75" header="0.3" footer="0.3"/>
      <pageSetup paperSize="9" orientation="portrait" r:id="rId1"/>
    </customSheetView>
    <customSheetView guid="{9AF4A83C-CF57-4B40-8A74-6A0EA6C2FE5C}" hiddenColumns="1" topLeftCell="B1">
      <selection activeCell="S12" sqref="S12"/>
      <pageMargins left="0.7" right="0.7" top="0.75" bottom="0.75" header="0.3" footer="0.3"/>
      <pageSetup paperSize="9" orientation="portrait" r:id="rId2"/>
    </customSheetView>
    <customSheetView guid="{899D69CD-4B7E-42BC-9944-5BD922EB798C}" topLeftCell="A22">
      <selection activeCell="A23" sqref="A23"/>
      <pageMargins left="0.7" right="0.7" top="0.75" bottom="0.75" header="0.3" footer="0.3"/>
      <pageSetup paperSize="9" orientation="portrait" r:id="rId3"/>
    </customSheetView>
    <customSheetView guid="{25FAB884-5E17-4008-8139-33D910C7DEFE}">
      <selection activeCell="B1" sqref="B1:P1048576"/>
      <pageMargins left="0.7" right="0.7" top="0.75" bottom="0.75" header="0.3" footer="0.3"/>
      <pageSetup paperSize="9" orientation="portrait" r:id="rId4"/>
    </customSheetView>
    <customSheetView guid="{8DA78CF1-615A-4626-9893-6751995631A4}" hiddenColumns="1" topLeftCell="A16">
      <selection activeCell="V9" sqref="V9:V10"/>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687A4863-1825-4D63-B732-E76682E6DE4F}" hiddenColumns="1">
      <selection activeCell="V9" sqref="V9:V10"/>
      <pageMargins left="0.7" right="0.7" top="0.75" bottom="0.75" header="0.3" footer="0.3"/>
      <pageSetup paperSize="9" orientation="portrait" r:id="rId7"/>
    </customSheetView>
    <customSheetView guid="{12F8D032-8143-430B-8DFF-852E8796C402}" hiddenColumns="1">
      <selection activeCell="V9" sqref="V9:V10"/>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L27 I27:K27 E27:F27 C27:D27 M27:P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6"/>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1" width="39.140625" style="19" customWidth="1"/>
    <col min="2" max="2" width="40.5703125" style="19" customWidth="1"/>
    <col min="3" max="13" width="13.42578125" style="19" customWidth="1"/>
    <col min="14" max="17" width="13.42578125" style="90" customWidth="1"/>
    <col min="18" max="16384" width="9.140625" style="19"/>
  </cols>
  <sheetData>
    <row r="2" spans="1:17"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623</v>
      </c>
      <c r="N2" s="40" t="s">
        <v>632</v>
      </c>
      <c r="O2" s="40" t="s">
        <v>670</v>
      </c>
      <c r="P2" s="40" t="s">
        <v>674</v>
      </c>
      <c r="Q2" s="40" t="s">
        <v>685</v>
      </c>
    </row>
    <row r="3" spans="1:17"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row>
    <row r="4" spans="1:17" ht="15" customHeight="1">
      <c r="A4" s="33" t="s">
        <v>282</v>
      </c>
      <c r="B4" s="33" t="s">
        <v>311</v>
      </c>
      <c r="C4" s="42">
        <v>433</v>
      </c>
      <c r="D4" s="42">
        <v>0</v>
      </c>
      <c r="E4" s="42">
        <v>0</v>
      </c>
      <c r="F4" s="42">
        <v>0</v>
      </c>
      <c r="G4" s="42">
        <v>0</v>
      </c>
      <c r="H4" s="42">
        <v>0</v>
      </c>
      <c r="I4" s="42">
        <v>0</v>
      </c>
      <c r="J4" s="42">
        <v>0</v>
      </c>
      <c r="K4" s="42">
        <v>0</v>
      </c>
      <c r="L4" s="42">
        <v>0</v>
      </c>
      <c r="M4" s="42">
        <v>0</v>
      </c>
      <c r="N4" s="42">
        <v>0</v>
      </c>
      <c r="O4" s="42">
        <v>0</v>
      </c>
      <c r="P4" s="42">
        <v>0</v>
      </c>
      <c r="Q4" s="42">
        <v>0</v>
      </c>
    </row>
    <row r="5" spans="1:17"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row>
    <row r="6" spans="1:17" s="90" customFormat="1" ht="30" customHeight="1">
      <c r="A6" s="33" t="s">
        <v>627</v>
      </c>
      <c r="B6" s="33" t="s">
        <v>628</v>
      </c>
      <c r="C6" s="42">
        <v>0</v>
      </c>
      <c r="D6" s="42">
        <v>0</v>
      </c>
      <c r="E6" s="42">
        <v>0</v>
      </c>
      <c r="F6" s="42">
        <v>0</v>
      </c>
      <c r="G6" s="42">
        <v>0</v>
      </c>
      <c r="H6" s="42">
        <v>0</v>
      </c>
      <c r="I6" s="42">
        <v>0</v>
      </c>
      <c r="J6" s="42">
        <v>0</v>
      </c>
      <c r="K6" s="42">
        <v>0</v>
      </c>
      <c r="L6" s="42">
        <v>0</v>
      </c>
      <c r="M6" s="42">
        <v>50000</v>
      </c>
      <c r="N6" s="42">
        <v>9079</v>
      </c>
      <c r="O6" s="42">
        <v>0</v>
      </c>
      <c r="P6" s="42">
        <v>0</v>
      </c>
      <c r="Q6" s="42">
        <v>0</v>
      </c>
    </row>
    <row r="7" spans="1:17"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c r="P7" s="42">
        <v>727</v>
      </c>
      <c r="Q7" s="42">
        <v>848</v>
      </c>
    </row>
    <row r="8" spans="1:17"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c r="P8" s="42">
        <v>106</v>
      </c>
      <c r="Q8" s="42">
        <v>21</v>
      </c>
    </row>
    <row r="9" spans="1:17"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c r="P9" s="42">
        <v>1093</v>
      </c>
      <c r="Q9" s="42">
        <v>5535</v>
      </c>
    </row>
    <row r="10" spans="1:17"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c r="P10" s="42">
        <v>151</v>
      </c>
      <c r="Q10" s="42">
        <v>230</v>
      </c>
    </row>
    <row r="11" spans="1:17" ht="15" customHeight="1">
      <c r="A11" s="33" t="s">
        <v>274</v>
      </c>
      <c r="B11" s="33" t="s">
        <v>299</v>
      </c>
      <c r="C11" s="42">
        <v>24131</v>
      </c>
      <c r="D11" s="42">
        <v>31</v>
      </c>
      <c r="E11" s="42">
        <v>73</v>
      </c>
      <c r="F11" s="42">
        <v>3</v>
      </c>
      <c r="G11" s="42">
        <v>0</v>
      </c>
      <c r="H11" s="42">
        <v>0</v>
      </c>
      <c r="I11" s="42">
        <v>0</v>
      </c>
      <c r="J11" s="42">
        <v>0</v>
      </c>
      <c r="K11" s="267">
        <v>0</v>
      </c>
      <c r="L11" s="267">
        <v>3</v>
      </c>
      <c r="M11" s="267">
        <v>9962</v>
      </c>
      <c r="N11" s="42">
        <v>3073</v>
      </c>
      <c r="O11" s="42">
        <v>1055</v>
      </c>
      <c r="P11" s="42">
        <v>3677</v>
      </c>
      <c r="Q11" s="42">
        <v>2225</v>
      </c>
    </row>
    <row r="12" spans="1:17" ht="15" customHeight="1">
      <c r="A12" s="34" t="s">
        <v>275</v>
      </c>
      <c r="B12" s="34" t="s">
        <v>300</v>
      </c>
      <c r="C12" s="42">
        <v>9934</v>
      </c>
      <c r="D12" s="42">
        <v>11459</v>
      </c>
      <c r="E12" s="42">
        <v>8799</v>
      </c>
      <c r="F12" s="42">
        <v>10403</v>
      </c>
      <c r="G12" s="42">
        <v>15451</v>
      </c>
      <c r="H12" s="42">
        <v>18557</v>
      </c>
      <c r="I12" s="42">
        <v>9144</v>
      </c>
      <c r="J12" s="42">
        <v>9304</v>
      </c>
      <c r="K12" s="266">
        <v>13109</v>
      </c>
      <c r="L12" s="266">
        <v>14664</v>
      </c>
      <c r="M12" s="266">
        <v>11241</v>
      </c>
      <c r="N12" s="42">
        <v>18063</v>
      </c>
      <c r="O12" s="42">
        <v>15778</v>
      </c>
      <c r="P12" s="42">
        <v>11378</v>
      </c>
      <c r="Q12" s="42">
        <v>21313</v>
      </c>
    </row>
    <row r="13" spans="1:17"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100791</v>
      </c>
      <c r="N13" s="43">
        <f>SUM(N3:N12)</f>
        <v>69832</v>
      </c>
      <c r="O13" s="43">
        <f>SUM(O3:O12)</f>
        <v>40816</v>
      </c>
      <c r="P13" s="43">
        <f>SUM(P3:P12)</f>
        <v>25724</v>
      </c>
      <c r="Q13" s="43">
        <f>SUM(Q3:Q12)</f>
        <v>40773</v>
      </c>
    </row>
    <row r="14" spans="1:17">
      <c r="A14" s="244"/>
      <c r="B14" s="244"/>
      <c r="C14" s="290"/>
      <c r="D14" s="290"/>
      <c r="E14" s="290"/>
      <c r="F14" s="290"/>
      <c r="G14" s="290"/>
      <c r="H14" s="290"/>
      <c r="I14" s="90"/>
      <c r="J14" s="90"/>
      <c r="K14" s="90"/>
      <c r="L14" s="90"/>
      <c r="M14" s="90"/>
    </row>
    <row r="15" spans="1:17">
      <c r="A15" s="244"/>
      <c r="B15" s="244"/>
      <c r="C15" s="244"/>
      <c r="D15" s="244"/>
      <c r="E15" s="244"/>
      <c r="F15" s="244"/>
      <c r="G15" s="286"/>
      <c r="H15" s="286"/>
      <c r="I15" s="244"/>
      <c r="J15" s="244"/>
      <c r="K15" s="276"/>
      <c r="L15" s="276"/>
    </row>
    <row r="16" spans="1:17">
      <c r="A16" s="244"/>
      <c r="B16" s="244"/>
      <c r="C16" s="244"/>
      <c r="D16" s="244"/>
      <c r="E16" s="244"/>
      <c r="F16" s="244"/>
      <c r="G16" s="286"/>
      <c r="H16" s="286"/>
      <c r="I16" s="244"/>
      <c r="J16" s="244"/>
      <c r="K16" s="275"/>
      <c r="L16" s="275"/>
    </row>
    <row r="17" spans="1:13">
      <c r="A17" s="244"/>
      <c r="B17" s="244"/>
      <c r="C17" s="244"/>
      <c r="D17" s="244"/>
      <c r="E17" s="244"/>
      <c r="F17" s="244"/>
      <c r="G17" s="289"/>
      <c r="H17" s="286"/>
      <c r="I17" s="244"/>
      <c r="J17" s="244"/>
      <c r="K17" s="244"/>
      <c r="L17" s="244"/>
    </row>
    <row r="18" spans="1:13">
      <c r="G18" s="289"/>
      <c r="H18" s="286"/>
      <c r="M18" s="274"/>
    </row>
    <row r="19" spans="1:13">
      <c r="G19" s="289"/>
      <c r="H19" s="286"/>
    </row>
    <row r="20" spans="1:13">
      <c r="G20" s="289"/>
      <c r="H20" s="286"/>
    </row>
    <row r="21" spans="1:13">
      <c r="G21" s="289"/>
      <c r="H21" s="286"/>
    </row>
    <row r="22" spans="1:13">
      <c r="G22" s="289"/>
      <c r="H22" s="286"/>
    </row>
    <row r="23" spans="1:13">
      <c r="G23" s="289"/>
      <c r="H23" s="286"/>
    </row>
    <row r="24" spans="1:13">
      <c r="G24" s="289"/>
      <c r="H24" s="286"/>
    </row>
    <row r="25" spans="1:13">
      <c r="G25" s="289"/>
      <c r="H25" s="286"/>
    </row>
    <row r="26" spans="1:13">
      <c r="G26" s="289"/>
      <c r="H26" s="286"/>
    </row>
    <row r="27" spans="1:13">
      <c r="G27" s="286"/>
      <c r="H27" s="286"/>
    </row>
    <row r="28" spans="1:13">
      <c r="G28" s="286"/>
      <c r="H28" s="286"/>
    </row>
    <row r="29" spans="1:13">
      <c r="G29" s="286"/>
      <c r="H29" s="286"/>
    </row>
    <row r="30" spans="1:13">
      <c r="G30" s="286"/>
      <c r="H30" s="286"/>
    </row>
    <row r="31" spans="1:13">
      <c r="G31" s="286"/>
      <c r="H31" s="286"/>
    </row>
    <row r="32" spans="1:13">
      <c r="G32" s="286"/>
      <c r="H32" s="286"/>
    </row>
    <row r="33" spans="7:8">
      <c r="G33" s="286"/>
      <c r="H33" s="286"/>
    </row>
    <row r="34" spans="7:8">
      <c r="G34" s="286"/>
      <c r="H34" s="286"/>
    </row>
    <row r="35" spans="7:8">
      <c r="G35" s="286"/>
      <c r="H35" s="286"/>
    </row>
    <row r="36" spans="7:8">
      <c r="G36" s="286"/>
      <c r="H36" s="286"/>
    </row>
  </sheetData>
  <customSheetViews>
    <customSheetView guid="{746490BF-9C44-4B41-8803-BEC9E453576A}" showGridLines="0">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9AF4A83C-CF57-4B40-8A74-6A0EA6C2FE5C}" topLeftCell="C1">
      <selection activeCell="R20" sqref="R20"/>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8DA78CF1-615A-4626-9893-6751995631A4}" showGridLines="0" topLeftCell="J1">
      <selection activeCell="Q19" sqref="Q19"/>
      <pageMargins left="0.7" right="0.7" top="0.75" bottom="0.75" header="0.3" footer="0.3"/>
      <pageSetup paperSize="9" orientation="portrait" horizontalDpi="1200" verticalDpi="1200" r:id="rId4"/>
    </customSheetView>
    <customSheetView guid="{57267270-6A97-4850-9DB6-FE6B399379AA}" scale="110">
      <selection activeCell="H12" sqref="H12"/>
      <pageMargins left="0.7" right="0.7" top="0.75" bottom="0.75" header="0.3" footer="0.3"/>
    </customSheetView>
    <customSheetView guid="{687A4863-1825-4D63-B732-E76682E6DE4F}" showGridLines="0" topLeftCell="F2">
      <selection activeCell="P15" sqref="P15"/>
      <pageMargins left="0.7" right="0.7" top="0.75" bottom="0.75" header="0.3" footer="0.3"/>
      <pageSetup paperSize="9" orientation="portrait" horizontalDpi="1200" verticalDpi="1200" r:id="rId5"/>
    </customSheetView>
    <customSheetView guid="{12F8D032-8143-430B-8DFF-852E8796C402}" showGridLines="0">
      <selection activeCell="A34" sqref="A34"/>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2" width="46.5703125" style="20" customWidth="1"/>
    <col min="3" max="13" width="15.85546875" style="19" customWidth="1"/>
    <col min="14" max="17" width="15.85546875" style="90" customWidth="1"/>
    <col min="18" max="16384" width="9.140625" style="19"/>
  </cols>
  <sheetData>
    <row r="1" spans="1:17">
      <c r="M1" s="274"/>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623</v>
      </c>
      <c r="N2" s="36" t="s">
        <v>632</v>
      </c>
      <c r="O2" s="36" t="s">
        <v>670</v>
      </c>
      <c r="P2" s="36" t="s">
        <v>674</v>
      </c>
      <c r="Q2" s="36" t="s">
        <v>685</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row>
    <row r="4" spans="1:17" s="90" customFormat="1">
      <c r="A4" s="161" t="s">
        <v>647</v>
      </c>
      <c r="B4" s="161" t="s">
        <v>648</v>
      </c>
      <c r="C4" s="38">
        <v>0</v>
      </c>
      <c r="D4" s="38">
        <v>0</v>
      </c>
      <c r="E4" s="38">
        <v>0</v>
      </c>
      <c r="F4" s="38">
        <v>0</v>
      </c>
      <c r="G4" s="38">
        <v>0</v>
      </c>
      <c r="H4" s="38">
        <v>0</v>
      </c>
      <c r="I4" s="38">
        <v>0</v>
      </c>
      <c r="J4" s="38">
        <v>0</v>
      </c>
      <c r="K4" s="38">
        <v>0</v>
      </c>
      <c r="L4" s="38">
        <v>0</v>
      </c>
      <c r="M4" s="38">
        <v>-9954</v>
      </c>
      <c r="N4" s="38">
        <v>-256674</v>
      </c>
      <c r="O4" s="38">
        <v>-47105</v>
      </c>
      <c r="P4" s="38">
        <v>-63228</v>
      </c>
      <c r="Q4" s="38">
        <v>0</v>
      </c>
    </row>
    <row r="5" spans="1:17" ht="38.25">
      <c r="A5" s="33" t="s">
        <v>618</v>
      </c>
      <c r="B5" s="33" t="s">
        <v>619</v>
      </c>
      <c r="C5" s="38">
        <v>0</v>
      </c>
      <c r="D5" s="38">
        <v>0</v>
      </c>
      <c r="E5" s="38">
        <v>0</v>
      </c>
      <c r="F5" s="38">
        <v>-8397</v>
      </c>
      <c r="G5" s="38">
        <v>0</v>
      </c>
      <c r="H5" s="38">
        <v>0</v>
      </c>
      <c r="I5" s="38">
        <v>0</v>
      </c>
      <c r="J5" s="38">
        <v>-13054</v>
      </c>
      <c r="K5" s="38">
        <v>0</v>
      </c>
      <c r="L5" s="38">
        <v>-17460</v>
      </c>
      <c r="M5" s="38">
        <v>-1097</v>
      </c>
      <c r="N5" s="38">
        <v>-15578</v>
      </c>
      <c r="O5" s="38">
        <v>-8687</v>
      </c>
      <c r="P5" s="38">
        <v>-23978</v>
      </c>
      <c r="Q5" s="38">
        <v>-3925</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c r="P7" s="38">
        <v>-432</v>
      </c>
      <c r="Q7" s="38">
        <v>-275</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c r="P10" s="38">
        <v>0</v>
      </c>
      <c r="Q10" s="38">
        <v>-9</v>
      </c>
    </row>
    <row r="11" spans="1:17" ht="15" customHeight="1">
      <c r="A11" s="34" t="s">
        <v>275</v>
      </c>
      <c r="B11" s="34" t="s">
        <v>300</v>
      </c>
      <c r="C11" s="37">
        <v>-4825</v>
      </c>
      <c r="D11" s="37">
        <v>-8014</v>
      </c>
      <c r="E11" s="37">
        <v>-5357</v>
      </c>
      <c r="F11" s="37">
        <v>-10780</v>
      </c>
      <c r="G11" s="37">
        <v>-7163</v>
      </c>
      <c r="H11" s="37">
        <v>-5632</v>
      </c>
      <c r="I11" s="37">
        <v>-7677</v>
      </c>
      <c r="J11" s="37">
        <v>-11523</v>
      </c>
      <c r="K11" s="266">
        <f>-9842</f>
        <v>-9842</v>
      </c>
      <c r="L11" s="266">
        <v>-8521</v>
      </c>
      <c r="M11" s="266">
        <v>-7739</v>
      </c>
      <c r="N11" s="38">
        <v>-12858</v>
      </c>
      <c r="O11" s="38">
        <v>-10264</v>
      </c>
      <c r="P11" s="38">
        <v>-10720</v>
      </c>
      <c r="Q11" s="38">
        <v>-15131</v>
      </c>
    </row>
    <row r="12" spans="1:17" ht="15" customHeight="1">
      <c r="A12" s="35" t="s">
        <v>58</v>
      </c>
      <c r="B12" s="35" t="s">
        <v>43</v>
      </c>
      <c r="C12" s="39">
        <v>-27993</v>
      </c>
      <c r="D12" s="39">
        <v>-16655</v>
      </c>
      <c r="E12" s="39">
        <v>-39161</v>
      </c>
      <c r="F12" s="39">
        <v>-30240</v>
      </c>
      <c r="G12" s="39">
        <f>SUM(G3:G11)</f>
        <v>-26161</v>
      </c>
      <c r="H12" s="39">
        <v>-84548</v>
      </c>
      <c r="I12" s="39">
        <v>-34081</v>
      </c>
      <c r="J12" s="39">
        <v>-47951</v>
      </c>
      <c r="K12" s="39">
        <f t="shared" ref="K12:P12" si="0">SUM(K3:K11)</f>
        <v>-26792</v>
      </c>
      <c r="L12" s="39">
        <f t="shared" si="0"/>
        <v>-46032</v>
      </c>
      <c r="M12" s="39">
        <f t="shared" si="0"/>
        <v>-35419</v>
      </c>
      <c r="N12" s="39">
        <f>SUM(N3:N11)</f>
        <v>-303639</v>
      </c>
      <c r="O12" s="39">
        <f t="shared" si="0"/>
        <v>-91340</v>
      </c>
      <c r="P12" s="39">
        <f t="shared" si="0"/>
        <v>-150057</v>
      </c>
      <c r="Q12" s="39">
        <f t="shared" ref="Q12" si="1">SUM(Q3:Q11)</f>
        <v>-54449</v>
      </c>
    </row>
    <row r="13" spans="1:17">
      <c r="B13" s="243"/>
      <c r="C13" s="323"/>
      <c r="D13" s="323"/>
      <c r="E13" s="323"/>
      <c r="F13" s="323"/>
      <c r="G13" s="323"/>
      <c r="H13" s="323"/>
      <c r="I13" s="323"/>
      <c r="J13" s="323"/>
      <c r="K13" s="323"/>
      <c r="L13" s="323"/>
      <c r="M13" s="323"/>
      <c r="N13" s="323"/>
      <c r="O13" s="323"/>
      <c r="P13" s="323"/>
      <c r="Q13" s="323"/>
    </row>
    <row r="14" spans="1:17">
      <c r="B14" s="316"/>
      <c r="C14" s="314"/>
      <c r="D14" s="314"/>
      <c r="E14" s="314"/>
      <c r="F14" s="315"/>
      <c r="G14" s="315"/>
      <c r="H14" s="315"/>
      <c r="I14" s="315"/>
      <c r="J14" s="315"/>
      <c r="K14" s="315"/>
      <c r="L14" s="315"/>
      <c r="M14" s="315"/>
      <c r="N14" s="315"/>
      <c r="O14" s="315"/>
      <c r="P14" s="315"/>
      <c r="Q14" s="315"/>
    </row>
    <row r="15" spans="1:17">
      <c r="B15" s="316"/>
      <c r="C15" s="317"/>
      <c r="D15" s="317"/>
      <c r="E15" s="317"/>
      <c r="F15" s="317"/>
      <c r="G15" s="317"/>
      <c r="H15" s="317"/>
      <c r="I15" s="317"/>
      <c r="J15" s="317"/>
      <c r="K15" s="318"/>
      <c r="L15" s="318"/>
      <c r="M15" s="93"/>
      <c r="N15" s="93"/>
      <c r="O15" s="93"/>
      <c r="P15" s="93"/>
      <c r="Q15" s="93"/>
    </row>
    <row r="16" spans="1:17" s="90" customFormat="1">
      <c r="A16" s="20"/>
      <c r="B16" s="319"/>
      <c r="C16" s="93"/>
      <c r="D16" s="93"/>
      <c r="E16" s="93"/>
      <c r="F16" s="93"/>
      <c r="G16" s="273"/>
      <c r="H16" s="93"/>
      <c r="I16" s="93"/>
      <c r="J16" s="93"/>
      <c r="K16" s="93"/>
      <c r="L16" s="93"/>
      <c r="M16" s="93"/>
      <c r="N16" s="93"/>
      <c r="O16" s="93"/>
      <c r="P16" s="93"/>
      <c r="Q16" s="93"/>
    </row>
    <row r="17" spans="7:7">
      <c r="G17" s="274"/>
    </row>
    <row r="18" spans="7:7">
      <c r="G18" s="274"/>
    </row>
    <row r="19" spans="7:7">
      <c r="G19" s="274"/>
    </row>
    <row r="20" spans="7:7">
      <c r="G20" s="274"/>
    </row>
    <row r="21" spans="7:7">
      <c r="G21" s="274"/>
    </row>
    <row r="22" spans="7:7">
      <c r="G22" s="274"/>
    </row>
    <row r="23" spans="7:7">
      <c r="G23" s="274"/>
    </row>
    <row r="24" spans="7:7">
      <c r="G24" s="274"/>
    </row>
    <row r="25" spans="7:7">
      <c r="G25" s="274"/>
    </row>
    <row r="26" spans="7:7">
      <c r="G26" s="274"/>
    </row>
    <row r="27" spans="7:7">
      <c r="G27" s="274"/>
    </row>
  </sheetData>
  <customSheetViews>
    <customSheetView guid="{746490BF-9C44-4B41-8803-BEC9E453576A}" showGridLines="0">
      <pane xSplit="2" ySplit="2" topLeftCell="C3" activePane="bottomRight" state="frozen"/>
      <selection pane="bottomRight" activeCell="C3" sqref="C3"/>
      <pageMargins left="0.7" right="0.7" top="0.75" bottom="0.75" header="0.3" footer="0.3"/>
    </customSheetView>
    <customSheetView guid="{9AF4A83C-CF57-4B40-8A74-6A0EA6C2FE5C}" topLeftCell="C1">
      <selection activeCell="N4" sqref="N4"/>
      <pageMargins left="0.7" right="0.7" top="0.75" bottom="0.75" header="0.3" footer="0.3"/>
      <pageSetup paperSize="9" orientation="portrait" horizontalDpi="1200" verticalDpi="1200" r:id="rId1"/>
    </customSheetView>
    <customSheetView guid="{899D69CD-4B7E-42BC-9944-5BD922EB798C}">
      <selection activeCell="B8" sqref="B8"/>
      <pageMargins left="0.7" right="0.7" top="0.75" bottom="0.75" header="0.3" footer="0.3"/>
    </customSheetView>
    <customSheetView guid="{25FAB884-5E17-4008-8139-33D910C7DEFE}">
      <selection activeCell="L27" sqref="L27"/>
      <pageMargins left="0.7" right="0.7" top="0.75" bottom="0.75" header="0.3" footer="0.3"/>
    </customSheetView>
    <customSheetView guid="{8DA78CF1-615A-4626-9893-6751995631A4}" showGridLines="0" topLeftCell="G1">
      <selection activeCell="N17" sqref="N17"/>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687A4863-1825-4D63-B732-E76682E6DE4F}" showGridLines="0" topLeftCell="H1">
      <selection activeCell="O15" sqref="O15"/>
      <pageMargins left="0.7" right="0.7" top="0.75" bottom="0.75" header="0.3" footer="0.3"/>
    </customSheetView>
    <customSheetView guid="{12F8D032-8143-430B-8DFF-852E8796C402}" showGridLines="0">
      <selection activeCell="A3" sqref="A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746490BF-9C44-4B41-8803-BEC9E453576A}"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workbookViewId="0">
      <pane xSplit="3" ySplit="1" topLeftCell="Q2" activePane="bottomRight" state="frozen"/>
      <selection pane="topRight" activeCell="D1" sqref="D1"/>
      <selection pane="bottomLeft" activeCell="A2" sqref="A2"/>
      <selection pane="bottomRight" activeCell="D2" sqref="D2"/>
    </sheetView>
  </sheetViews>
  <sheetFormatPr defaultColWidth="9.140625" defaultRowHeight="12.75"/>
  <cols>
    <col min="1" max="1" width="3.85546875" style="115" customWidth="1"/>
    <col min="2" max="2" width="52.85546875" style="130" customWidth="1"/>
    <col min="3" max="3" width="53.85546875" style="130" customWidth="1"/>
    <col min="4" max="18" width="17.85546875" style="130" customWidth="1"/>
    <col min="19" max="16384" width="9.140625" style="115"/>
  </cols>
  <sheetData>
    <row r="1" spans="2:24" ht="26.25" thickBot="1">
      <c r="B1" s="112" t="s">
        <v>414</v>
      </c>
      <c r="C1" s="112" t="s">
        <v>430</v>
      </c>
      <c r="D1" s="114" t="s">
        <v>503</v>
      </c>
      <c r="E1" s="113" t="s">
        <v>502</v>
      </c>
      <c r="F1" s="113" t="s">
        <v>501</v>
      </c>
      <c r="G1" s="114" t="s">
        <v>597</v>
      </c>
      <c r="H1" s="114" t="s">
        <v>431</v>
      </c>
      <c r="I1" s="113" t="s">
        <v>450</v>
      </c>
      <c r="J1" s="113" t="s">
        <v>449</v>
      </c>
      <c r="K1" s="113" t="s">
        <v>448</v>
      </c>
      <c r="L1" s="113" t="s">
        <v>447</v>
      </c>
      <c r="M1" s="113" t="s">
        <v>595</v>
      </c>
      <c r="N1" s="113" t="s">
        <v>625</v>
      </c>
      <c r="O1" s="113" t="s">
        <v>661</v>
      </c>
      <c r="P1" s="113" t="s">
        <v>672</v>
      </c>
      <c r="Q1" s="113" t="s">
        <v>690</v>
      </c>
      <c r="R1" s="113" t="s">
        <v>691</v>
      </c>
    </row>
    <row r="2" spans="2:24" ht="12.6" customHeight="1">
      <c r="B2" s="116" t="s">
        <v>415</v>
      </c>
      <c r="C2" s="128" t="s">
        <v>432</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T2" s="292"/>
      <c r="U2" s="292"/>
      <c r="V2" s="292"/>
      <c r="W2" s="292"/>
      <c r="X2" s="292"/>
    </row>
    <row r="3" spans="2:24" ht="12.6" customHeight="1">
      <c r="B3" s="118" t="s">
        <v>416</v>
      </c>
      <c r="C3" s="129" t="s">
        <v>433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T3" s="292"/>
      <c r="U3" s="292"/>
      <c r="V3" s="292"/>
      <c r="W3" s="292"/>
      <c r="X3" s="292"/>
    </row>
    <row r="4" spans="2:24" ht="12.6" customHeight="1">
      <c r="B4" s="118" t="s">
        <v>417</v>
      </c>
      <c r="C4" s="129" t="s">
        <v>434</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T4" s="292"/>
      <c r="U4" s="292"/>
      <c r="V4" s="292"/>
      <c r="W4" s="292"/>
      <c r="X4" s="292"/>
    </row>
    <row r="5" spans="2:24" ht="12.6" customHeight="1">
      <c r="B5" s="118" t="s">
        <v>418</v>
      </c>
      <c r="C5" s="129" t="s">
        <v>435</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T5" s="292"/>
      <c r="U5" s="292"/>
      <c r="V5" s="292"/>
      <c r="W5" s="292"/>
      <c r="X5" s="292"/>
    </row>
    <row r="6" spans="2:24" ht="12.6" customHeight="1">
      <c r="B6" s="118" t="s">
        <v>419</v>
      </c>
      <c r="C6" s="129" t="s">
        <v>436</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T6" s="292"/>
      <c r="U6" s="292"/>
      <c r="V6" s="292"/>
      <c r="W6" s="292"/>
      <c r="X6" s="292"/>
    </row>
    <row r="7" spans="2:24" ht="12.6" customHeight="1">
      <c r="B7" s="118" t="s">
        <v>420</v>
      </c>
      <c r="C7" s="129" t="s">
        <v>437</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T7" s="292"/>
      <c r="U7" s="292"/>
      <c r="V7" s="292"/>
      <c r="W7" s="292"/>
      <c r="X7" s="292"/>
    </row>
    <row r="8" spans="2:24" ht="12.6" customHeight="1">
      <c r="B8" s="118" t="s">
        <v>421</v>
      </c>
      <c r="C8" s="129" t="s">
        <v>438</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T8" s="292"/>
      <c r="U8" s="292"/>
      <c r="V8" s="292"/>
      <c r="W8" s="292"/>
      <c r="X8" s="292"/>
    </row>
    <row r="9" spans="2:24" ht="12.6" customHeight="1">
      <c r="B9" s="118" t="s">
        <v>422</v>
      </c>
      <c r="C9" s="129" t="s">
        <v>439</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T9" s="292"/>
      <c r="U9" s="292"/>
      <c r="V9" s="292"/>
      <c r="W9" s="292"/>
      <c r="X9" s="292"/>
    </row>
    <row r="10" spans="2:24" ht="12.6" customHeight="1">
      <c r="B10" s="118" t="s">
        <v>423</v>
      </c>
      <c r="C10" s="129" t="s">
        <v>440</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T10" s="292"/>
      <c r="U10" s="292"/>
      <c r="V10" s="292"/>
      <c r="W10" s="292"/>
      <c r="X10" s="292"/>
    </row>
    <row r="11" spans="2:24" ht="12.6" customHeight="1">
      <c r="B11" s="118" t="s">
        <v>424</v>
      </c>
      <c r="C11" s="129" t="s">
        <v>441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T11" s="292"/>
      <c r="U11" s="292"/>
      <c r="V11" s="292"/>
      <c r="W11" s="292"/>
      <c r="X11" s="292"/>
    </row>
    <row r="12" spans="2:24" ht="12.6" customHeight="1">
      <c r="B12" s="118" t="s">
        <v>425</v>
      </c>
      <c r="C12" s="129" t="s">
        <v>442</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T12" s="292"/>
      <c r="U12" s="292"/>
      <c r="V12" s="292"/>
      <c r="W12" s="292"/>
      <c r="X12" s="292"/>
    </row>
    <row r="13" spans="2:24" ht="12.6" customHeight="1">
      <c r="B13" s="118" t="s">
        <v>426</v>
      </c>
      <c r="C13" s="129" t="s">
        <v>443</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0.18759999999999999</v>
      </c>
      <c r="R13" s="122">
        <v>0.187</v>
      </c>
      <c r="T13" s="292"/>
      <c r="U13" s="292"/>
      <c r="V13" s="292"/>
      <c r="W13" s="292"/>
      <c r="X13" s="292"/>
    </row>
    <row r="14" spans="2:24" ht="12.6" customHeight="1">
      <c r="B14" s="118" t="s">
        <v>427</v>
      </c>
      <c r="C14" s="129" t="s">
        <v>444</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0.1681</v>
      </c>
      <c r="R14" s="120">
        <v>0.1676</v>
      </c>
      <c r="T14" s="292"/>
      <c r="U14" s="292"/>
      <c r="V14" s="292"/>
      <c r="W14" s="292"/>
      <c r="X14" s="292"/>
    </row>
    <row r="15" spans="2:24" ht="12.6" customHeight="1">
      <c r="B15" s="118" t="s">
        <v>428</v>
      </c>
      <c r="C15" s="129" t="s">
        <v>445</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T15" s="292"/>
      <c r="U15" s="292"/>
      <c r="V15" s="292"/>
      <c r="W15" s="292"/>
      <c r="X15" s="292"/>
    </row>
    <row r="16" spans="2:24" ht="13.5" customHeight="1" thickBot="1">
      <c r="B16" s="124" t="s">
        <v>429</v>
      </c>
      <c r="C16" s="124" t="s">
        <v>446</v>
      </c>
      <c r="D16" s="125">
        <v>4.5599999999999996</v>
      </c>
      <c r="E16" s="125">
        <v>11.09</v>
      </c>
      <c r="F16" s="125">
        <v>16.57</v>
      </c>
      <c r="G16" s="125">
        <v>22.15</v>
      </c>
      <c r="H16" s="125">
        <v>4.37</v>
      </c>
      <c r="I16" s="125">
        <v>10.85</v>
      </c>
      <c r="J16" s="125">
        <v>15.86</v>
      </c>
      <c r="K16" s="125">
        <v>23.7</v>
      </c>
      <c r="L16" s="125">
        <v>3.32</v>
      </c>
      <c r="M16" s="288">
        <v>9.16</v>
      </c>
      <c r="N16" s="288">
        <v>15.98</v>
      </c>
      <c r="O16" s="125">
        <v>20.95</v>
      </c>
      <c r="P16" s="125">
        <v>1.67</v>
      </c>
      <c r="Q16" s="125">
        <v>4.66</v>
      </c>
      <c r="R16" s="125">
        <v>9.36</v>
      </c>
      <c r="S16" s="292"/>
      <c r="T16" s="292"/>
      <c r="U16" s="292"/>
      <c r="V16" s="292"/>
      <c r="W16" s="292"/>
      <c r="X16" s="292"/>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6" t="s">
        <v>451</v>
      </c>
      <c r="B18" s="242" t="s">
        <v>662</v>
      </c>
      <c r="C18" s="248" t="s">
        <v>663</v>
      </c>
      <c r="D18" s="127"/>
      <c r="E18" s="127"/>
      <c r="F18" s="127"/>
      <c r="G18" s="127"/>
      <c r="H18" s="127"/>
      <c r="I18" s="127"/>
      <c r="J18" s="127"/>
      <c r="K18" s="127"/>
      <c r="L18" s="127"/>
      <c r="M18" s="127"/>
      <c r="N18" s="127"/>
      <c r="O18" s="127"/>
      <c r="P18" s="127"/>
      <c r="Q18" s="127"/>
      <c r="R18" s="127"/>
    </row>
    <row r="19" spans="1:18" ht="29.25">
      <c r="A19" s="146" t="s">
        <v>452</v>
      </c>
      <c r="B19" s="403" t="s">
        <v>697</v>
      </c>
      <c r="C19" s="403" t="s">
        <v>664</v>
      </c>
      <c r="D19" s="127"/>
      <c r="E19" s="127"/>
      <c r="F19" s="127"/>
      <c r="G19" s="127"/>
      <c r="H19" s="127"/>
      <c r="I19" s="127"/>
      <c r="J19" s="127"/>
      <c r="K19" s="127"/>
      <c r="L19" s="127"/>
      <c r="M19" s="127"/>
      <c r="N19" s="127"/>
      <c r="O19" s="127"/>
      <c r="P19" s="127"/>
      <c r="Q19" s="127"/>
      <c r="R19" s="127"/>
    </row>
    <row r="20" spans="1:18" ht="29.25">
      <c r="A20" s="146" t="s">
        <v>453</v>
      </c>
      <c r="B20" s="242" t="s">
        <v>665</v>
      </c>
      <c r="C20" s="403" t="s">
        <v>666</v>
      </c>
      <c r="D20" s="127"/>
      <c r="E20" s="127"/>
      <c r="F20" s="127"/>
      <c r="G20" s="127"/>
      <c r="H20" s="127"/>
      <c r="I20" s="127"/>
      <c r="J20" s="127"/>
      <c r="K20" s="127"/>
      <c r="L20" s="127"/>
      <c r="M20" s="127"/>
      <c r="N20" s="127"/>
      <c r="O20" s="127"/>
      <c r="P20" s="127"/>
      <c r="Q20" s="127"/>
      <c r="R20" s="127"/>
    </row>
    <row r="21" spans="1:18" ht="29.25">
      <c r="A21" s="146" t="s">
        <v>454</v>
      </c>
      <c r="B21" s="242" t="s">
        <v>568</v>
      </c>
      <c r="C21" s="248" t="s">
        <v>569</v>
      </c>
      <c r="D21" s="127"/>
      <c r="E21" s="127"/>
      <c r="F21" s="127"/>
      <c r="G21" s="127"/>
      <c r="H21" s="127"/>
      <c r="I21" s="127"/>
      <c r="J21" s="127"/>
      <c r="K21" s="127"/>
      <c r="L21" s="127"/>
      <c r="M21" s="127"/>
      <c r="N21" s="127"/>
      <c r="O21" s="127"/>
      <c r="P21" s="127"/>
      <c r="Q21" s="127"/>
      <c r="R21" s="127"/>
    </row>
    <row r="22" spans="1:18" ht="29.25">
      <c r="A22" s="146" t="s">
        <v>455</v>
      </c>
      <c r="B22" s="242" t="s">
        <v>456</v>
      </c>
      <c r="C22" s="248" t="s">
        <v>570</v>
      </c>
      <c r="D22" s="127"/>
      <c r="E22" s="127"/>
      <c r="F22" s="127"/>
      <c r="G22" s="127"/>
      <c r="H22" s="127"/>
      <c r="I22" s="127"/>
      <c r="J22" s="127"/>
      <c r="K22" s="127"/>
      <c r="L22" s="127"/>
      <c r="M22" s="127"/>
      <c r="N22" s="127"/>
      <c r="O22" s="127"/>
      <c r="P22" s="127"/>
      <c r="Q22" s="127"/>
      <c r="R22" s="127"/>
    </row>
    <row r="23" spans="1:18" ht="48.75">
      <c r="A23" s="146" t="s">
        <v>457</v>
      </c>
      <c r="B23" s="242" t="s">
        <v>458</v>
      </c>
      <c r="C23" s="248" t="s">
        <v>571</v>
      </c>
      <c r="D23" s="127"/>
      <c r="E23" s="127"/>
      <c r="F23" s="127"/>
      <c r="G23" s="127"/>
      <c r="H23" s="127"/>
      <c r="I23" s="127"/>
      <c r="J23" s="127"/>
      <c r="K23" s="127"/>
      <c r="L23" s="127"/>
      <c r="M23" s="127"/>
      <c r="N23" s="127"/>
      <c r="O23" s="127"/>
      <c r="P23" s="127"/>
      <c r="Q23" s="127"/>
      <c r="R23" s="127"/>
    </row>
    <row r="24" spans="1:18" ht="22.5" customHeight="1">
      <c r="A24" s="146" t="s">
        <v>459</v>
      </c>
      <c r="B24" s="242" t="s">
        <v>460</v>
      </c>
      <c r="C24" s="248" t="s">
        <v>572</v>
      </c>
      <c r="D24" s="127"/>
      <c r="E24" s="127"/>
      <c r="F24" s="127"/>
      <c r="G24" s="127"/>
      <c r="H24" s="127"/>
      <c r="I24" s="127"/>
      <c r="J24" s="127"/>
      <c r="K24" s="127"/>
      <c r="L24" s="127"/>
      <c r="M24" s="127"/>
      <c r="N24" s="127"/>
      <c r="O24" s="127"/>
      <c r="P24" s="127"/>
      <c r="Q24" s="127"/>
      <c r="R24" s="127"/>
    </row>
    <row r="25" spans="1:18" ht="29.25">
      <c r="A25" s="146" t="s">
        <v>461</v>
      </c>
      <c r="B25" s="242" t="s">
        <v>462</v>
      </c>
      <c r="C25" s="248" t="s">
        <v>573</v>
      </c>
      <c r="D25" s="127"/>
      <c r="E25" s="127"/>
      <c r="F25" s="127"/>
      <c r="G25" s="127"/>
      <c r="H25" s="127"/>
      <c r="I25" s="127"/>
      <c r="J25" s="127"/>
      <c r="K25" s="127"/>
      <c r="L25" s="127"/>
      <c r="M25" s="127"/>
      <c r="N25" s="127"/>
      <c r="O25" s="127"/>
      <c r="P25" s="127"/>
      <c r="Q25" s="127"/>
      <c r="R25" s="127"/>
    </row>
    <row r="26" spans="1:18" ht="19.5">
      <c r="A26" s="146" t="s">
        <v>463</v>
      </c>
      <c r="B26" s="242" t="s">
        <v>464</v>
      </c>
      <c r="C26" s="248" t="s">
        <v>574</v>
      </c>
      <c r="D26" s="127"/>
      <c r="E26" s="127"/>
      <c r="F26" s="127"/>
      <c r="G26" s="127"/>
      <c r="H26" s="127"/>
      <c r="I26" s="127"/>
      <c r="J26" s="127"/>
      <c r="K26" s="127"/>
      <c r="L26" s="127"/>
      <c r="M26" s="127"/>
      <c r="N26" s="127"/>
      <c r="O26" s="127"/>
      <c r="P26" s="127"/>
      <c r="Q26" s="127"/>
      <c r="R26" s="127"/>
    </row>
    <row r="27" spans="1:18" ht="19.5">
      <c r="A27" s="146" t="s">
        <v>465</v>
      </c>
      <c r="B27" s="242" t="s">
        <v>667</v>
      </c>
      <c r="C27" s="248" t="s">
        <v>575</v>
      </c>
      <c r="D27" s="127"/>
      <c r="E27" s="127"/>
      <c r="F27" s="127"/>
      <c r="G27" s="127"/>
      <c r="H27" s="127"/>
      <c r="I27" s="127"/>
      <c r="J27" s="127"/>
      <c r="K27" s="127"/>
      <c r="L27" s="127"/>
      <c r="M27" s="127"/>
      <c r="N27" s="127"/>
      <c r="O27" s="127"/>
      <c r="P27" s="127"/>
      <c r="Q27" s="127"/>
      <c r="R27" s="127"/>
    </row>
    <row r="28" spans="1:18">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customSheetViews>
    <customSheetView guid="{746490BF-9C44-4B41-8803-BEC9E453576A}" showGridLines="0">
      <pane xSplit="3" ySplit="1" topLeftCell="Q2" activePane="bottomRight" state="frozen"/>
      <selection pane="bottomRight" activeCell="D2" sqref="D2"/>
      <pageMargins left="0.7" right="0.7" top="0.75" bottom="0.75" header="0.3" footer="0.3"/>
      <pageSetup paperSize="9" orientation="portrait" r:id="rId1"/>
    </customSheetView>
    <customSheetView guid="{9AF4A83C-CF57-4B40-8A74-6A0EA6C2FE5C}" showGridLines="0" topLeftCell="D1">
      <selection activeCell="K23" sqref="K23"/>
      <pageMargins left="0.7" right="0.7" top="0.75" bottom="0.75" header="0.3" footer="0.3"/>
      <pageSetup paperSize="9" orientation="portrait" r:id="rId2"/>
    </customSheetView>
    <customSheetView guid="{899D69CD-4B7E-42BC-9944-5BD922EB798C}">
      <selection activeCell="F20" sqref="F20"/>
      <pageMargins left="0.7" right="0.7" top="0.75" bottom="0.75" header="0.3" footer="0.3"/>
      <pageSetup paperSize="9" orientation="portrait" r:id="rId3"/>
    </customSheetView>
    <customSheetView guid="{25FAB884-5E17-4008-8139-33D910C7DEFE}">
      <selection activeCell="F20" sqref="F20"/>
      <pageMargins left="0.7" right="0.7" top="0.75" bottom="0.75" header="0.3" footer="0.3"/>
      <pageSetup paperSize="9" orientation="portrait" r:id="rId4"/>
    </customSheetView>
    <customSheetView guid="{8DA78CF1-615A-4626-9893-6751995631A4}" showGridLines="0" topLeftCell="L1">
      <selection activeCell="P17" sqref="P17"/>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687A4863-1825-4D63-B732-E76682E6DE4F}" showGridLines="0">
      <selection activeCell="B37" sqref="B37"/>
      <pageMargins left="0.7" right="0.7" top="0.75" bottom="0.75" header="0.3" footer="0.3"/>
      <pageSetup paperSize="9" orientation="portrait" r:id="rId7"/>
    </customSheetView>
    <customSheetView guid="{12F8D032-8143-430B-8DFF-852E8796C402}" showGridLines="0" topLeftCell="K1">
      <selection activeCell="R26" sqref="R26"/>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showGridLines="0" topLeftCell="B1" workbookViewId="0">
      <pane xSplit="1" ySplit="2" topLeftCell="C3" activePane="bottomRight" state="frozen"/>
      <selection activeCell="B1" sqref="B1"/>
      <selection pane="topRight" activeCell="C1" sqref="C1"/>
      <selection pane="bottomLeft" activeCell="B3" sqref="B3"/>
      <selection pane="bottomRight" activeCell="N16" sqref="N16"/>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11" style="3" customWidth="1"/>
    <col min="9" max="9" width="11.7109375" customWidth="1"/>
    <col min="10" max="10" width="11.7109375" style="3" customWidth="1"/>
  </cols>
  <sheetData>
    <row r="2" spans="1:10" s="90" customFormat="1" ht="15.75" thickBot="1">
      <c r="A2" s="44" t="s">
        <v>559</v>
      </c>
      <c r="B2" s="44" t="s">
        <v>560</v>
      </c>
      <c r="C2" s="52" t="s">
        <v>172</v>
      </c>
      <c r="D2" s="52" t="s">
        <v>598</v>
      </c>
      <c r="E2" s="54" t="s">
        <v>599</v>
      </c>
      <c r="F2" s="54" t="s">
        <v>624</v>
      </c>
      <c r="G2" s="54" t="s">
        <v>659</v>
      </c>
      <c r="H2" s="54">
        <v>43921</v>
      </c>
      <c r="I2" s="54">
        <v>44012</v>
      </c>
      <c r="J2" s="205">
        <v>44104</v>
      </c>
    </row>
    <row r="3" spans="1:10" s="90" customFormat="1">
      <c r="A3" s="220" t="s">
        <v>561</v>
      </c>
      <c r="B3" s="220" t="s">
        <v>500</v>
      </c>
      <c r="C3" s="221"/>
      <c r="D3" s="221"/>
      <c r="E3" s="221"/>
      <c r="F3" s="221"/>
      <c r="G3" s="221"/>
      <c r="H3" s="221"/>
      <c r="I3" s="221"/>
      <c r="J3" s="221"/>
    </row>
    <row r="4" spans="1:10" s="90" customFormat="1">
      <c r="A4" s="222" t="s">
        <v>562</v>
      </c>
      <c r="B4" s="222" t="s">
        <v>178</v>
      </c>
      <c r="C4" s="223">
        <v>127863304</v>
      </c>
      <c r="D4" s="223">
        <v>128673847</v>
      </c>
      <c r="E4" s="223">
        <v>130272454</v>
      </c>
      <c r="F4" s="223">
        <v>132561589</v>
      </c>
      <c r="G4" s="223">
        <v>132377036</v>
      </c>
      <c r="H4" s="223">
        <v>136527701</v>
      </c>
      <c r="I4" s="223">
        <v>130427157</v>
      </c>
      <c r="J4" s="223">
        <v>129855264</v>
      </c>
    </row>
    <row r="5" spans="1:10" s="90" customFormat="1">
      <c r="A5" s="224" t="s">
        <v>563</v>
      </c>
      <c r="B5" s="224" t="s">
        <v>576</v>
      </c>
      <c r="C5" s="225">
        <v>-564638</v>
      </c>
      <c r="D5" s="225">
        <v>-557472</v>
      </c>
      <c r="E5" s="225">
        <v>-552330</v>
      </c>
      <c r="F5" s="225">
        <v>-574167</v>
      </c>
      <c r="G5" s="225">
        <v>-571396</v>
      </c>
      <c r="H5" s="225">
        <v>-561675</v>
      </c>
      <c r="I5" s="225">
        <v>-564395</v>
      </c>
      <c r="J5" s="225">
        <v>-559747</v>
      </c>
    </row>
    <row r="6" spans="1:10" s="90" customFormat="1">
      <c r="A6" s="226" t="s">
        <v>332</v>
      </c>
      <c r="B6" s="226" t="s">
        <v>326</v>
      </c>
      <c r="C6" s="227"/>
      <c r="D6" s="227"/>
      <c r="E6" s="227"/>
      <c r="F6" s="227"/>
      <c r="G6" s="227"/>
      <c r="H6" s="227"/>
      <c r="I6" s="227"/>
      <c r="J6" s="227"/>
    </row>
    <row r="7" spans="1:10" s="90" customFormat="1">
      <c r="A7" s="222" t="s">
        <v>562</v>
      </c>
      <c r="B7" s="222" t="s">
        <v>178</v>
      </c>
      <c r="C7" s="223">
        <v>5696092</v>
      </c>
      <c r="D7" s="223">
        <v>6093723</v>
      </c>
      <c r="E7" s="223">
        <v>6783875</v>
      </c>
      <c r="F7" s="223">
        <v>6863173</v>
      </c>
      <c r="G7" s="223">
        <v>6546106</v>
      </c>
      <c r="H7" s="223">
        <v>6762337</v>
      </c>
      <c r="I7" s="223">
        <v>7674190</v>
      </c>
      <c r="J7" s="223">
        <v>7784160</v>
      </c>
    </row>
    <row r="8" spans="1:10" s="90" customFormat="1">
      <c r="A8" s="224" t="s">
        <v>563</v>
      </c>
      <c r="B8" s="224" t="s">
        <v>576</v>
      </c>
      <c r="C8" s="225">
        <v>-530276</v>
      </c>
      <c r="D8" s="225">
        <v>-552727</v>
      </c>
      <c r="E8" s="225">
        <v>-615669</v>
      </c>
      <c r="F8" s="225">
        <v>-639951</v>
      </c>
      <c r="G8" s="225">
        <v>-582541</v>
      </c>
      <c r="H8" s="225">
        <v>-741693</v>
      </c>
      <c r="I8" s="225">
        <v>-817540</v>
      </c>
      <c r="J8" s="225">
        <v>-819377</v>
      </c>
    </row>
    <row r="9" spans="1:10" s="90" customFormat="1">
      <c r="A9" s="226" t="s">
        <v>333</v>
      </c>
      <c r="B9" s="226" t="s">
        <v>327</v>
      </c>
      <c r="C9" s="227"/>
      <c r="D9" s="227"/>
      <c r="E9" s="227"/>
      <c r="F9" s="227"/>
      <c r="G9" s="227"/>
      <c r="H9" s="227"/>
      <c r="I9" s="227"/>
      <c r="J9" s="227"/>
    </row>
    <row r="10" spans="1:10" s="90" customFormat="1">
      <c r="A10" s="222" t="s">
        <v>562</v>
      </c>
      <c r="B10" s="222" t="s">
        <v>178</v>
      </c>
      <c r="C10" s="223">
        <v>5703661</v>
      </c>
      <c r="D10" s="223">
        <v>6091077</v>
      </c>
      <c r="E10" s="223">
        <v>6095285</v>
      </c>
      <c r="F10" s="223">
        <v>6539299</v>
      </c>
      <c r="G10" s="223">
        <v>6834385</v>
      </c>
      <c r="H10" s="223">
        <v>7142136</v>
      </c>
      <c r="I10" s="223">
        <v>7506574</v>
      </c>
      <c r="J10" s="223">
        <v>7629025</v>
      </c>
    </row>
    <row r="11" spans="1:10" s="90" customFormat="1">
      <c r="A11" s="224" t="s">
        <v>563</v>
      </c>
      <c r="B11" s="224" t="s">
        <v>576</v>
      </c>
      <c r="C11" s="225">
        <v>-3236293</v>
      </c>
      <c r="D11" s="225">
        <v>-3480014</v>
      </c>
      <c r="E11" s="225">
        <v>-3562717</v>
      </c>
      <c r="F11" s="225">
        <v>-3751732</v>
      </c>
      <c r="G11" s="225">
        <v>-3886229</v>
      </c>
      <c r="H11" s="225">
        <v>-4043474</v>
      </c>
      <c r="I11" s="225">
        <v>-4288048</v>
      </c>
      <c r="J11" s="225">
        <v>-4530127</v>
      </c>
    </row>
    <row r="12" spans="1:10" s="90" customFormat="1">
      <c r="A12" s="226" t="s">
        <v>492</v>
      </c>
      <c r="B12" s="226" t="s">
        <v>492</v>
      </c>
      <c r="C12" s="227"/>
      <c r="D12" s="227"/>
      <c r="E12" s="227"/>
      <c r="F12" s="227"/>
      <c r="G12" s="227"/>
      <c r="H12" s="227"/>
      <c r="I12" s="227"/>
      <c r="J12" s="227"/>
    </row>
    <row r="13" spans="1:10" s="90" customFormat="1">
      <c r="A13" s="222" t="s">
        <v>562</v>
      </c>
      <c r="B13" s="222" t="s">
        <v>178</v>
      </c>
      <c r="C13" s="223">
        <v>764562</v>
      </c>
      <c r="D13" s="223">
        <v>738455</v>
      </c>
      <c r="E13" s="223">
        <v>720352</v>
      </c>
      <c r="F13" s="223">
        <v>768655</v>
      </c>
      <c r="G13" s="223">
        <v>769208</v>
      </c>
      <c r="H13" s="223">
        <v>756701</v>
      </c>
      <c r="I13" s="223">
        <v>723074</v>
      </c>
      <c r="J13" s="223">
        <v>718820</v>
      </c>
    </row>
    <row r="14" spans="1:10" s="90" customFormat="1" ht="15.75" thickBot="1">
      <c r="A14" s="228" t="s">
        <v>563</v>
      </c>
      <c r="B14" s="228" t="s">
        <v>576</v>
      </c>
      <c r="C14" s="229">
        <v>-53115</v>
      </c>
      <c r="D14" s="229">
        <v>-74297</v>
      </c>
      <c r="E14" s="229">
        <v>-89355</v>
      </c>
      <c r="F14" s="229">
        <v>-151498</v>
      </c>
      <c r="G14" s="229">
        <v>-204198</v>
      </c>
      <c r="H14" s="229">
        <v>-216716</v>
      </c>
      <c r="I14" s="229">
        <v>-224036</v>
      </c>
      <c r="J14" s="229">
        <v>-222906</v>
      </c>
    </row>
    <row r="15" spans="1:10" s="90" customFormat="1">
      <c r="A15" s="230" t="s">
        <v>564</v>
      </c>
      <c r="B15" s="230" t="s">
        <v>565</v>
      </c>
      <c r="C15" s="231">
        <v>140027619</v>
      </c>
      <c r="D15" s="231">
        <v>141597102</v>
      </c>
      <c r="E15" s="231">
        <v>143871966</v>
      </c>
      <c r="F15" s="231">
        <f>F13+F10+F7+F4</f>
        <v>146732716</v>
      </c>
      <c r="G15" s="231">
        <f>G13+G10+G7+G4</f>
        <v>146526735</v>
      </c>
      <c r="H15" s="231">
        <v>151188875</v>
      </c>
      <c r="I15" s="231">
        <v>146330995</v>
      </c>
      <c r="J15" s="231">
        <v>145987269</v>
      </c>
    </row>
    <row r="16" spans="1:10" s="90" customFormat="1">
      <c r="A16" s="232" t="s">
        <v>563</v>
      </c>
      <c r="B16" s="233" t="s">
        <v>577</v>
      </c>
      <c r="C16" s="234">
        <v>-4384322</v>
      </c>
      <c r="D16" s="234">
        <v>-4664510</v>
      </c>
      <c r="E16" s="234">
        <v>-4820071</v>
      </c>
      <c r="F16" s="234">
        <f>F14+F11+F8+F5</f>
        <v>-5117348</v>
      </c>
      <c r="G16" s="234">
        <f>G14+G11+G8+G5</f>
        <v>-5244364</v>
      </c>
      <c r="H16" s="234">
        <v>-5563558</v>
      </c>
      <c r="I16" s="234">
        <v>-5894019</v>
      </c>
      <c r="J16" s="234">
        <v>-6132157</v>
      </c>
    </row>
    <row r="17" spans="1:10" s="90" customFormat="1" ht="18" customHeight="1" thickBot="1">
      <c r="A17" s="235" t="s">
        <v>566</v>
      </c>
      <c r="B17" s="236" t="s">
        <v>567</v>
      </c>
      <c r="C17" s="237">
        <v>135643297</v>
      </c>
      <c r="D17" s="237">
        <v>136932592</v>
      </c>
      <c r="E17" s="237">
        <v>139051895</v>
      </c>
      <c r="F17" s="237">
        <f>SUM(F15:F16)</f>
        <v>141615368</v>
      </c>
      <c r="G17" s="237">
        <f>SUM(G15:G16)</f>
        <v>141282371</v>
      </c>
      <c r="H17" s="237">
        <v>145625317</v>
      </c>
      <c r="I17" s="237">
        <v>140436976</v>
      </c>
      <c r="J17" s="237">
        <v>139855112</v>
      </c>
    </row>
    <row r="22" spans="1:10">
      <c r="C22" s="3"/>
    </row>
    <row r="23" spans="1:10">
      <c r="C23" s="3"/>
    </row>
    <row r="24" spans="1:10">
      <c r="C24" s="3"/>
    </row>
    <row r="25" spans="1:10">
      <c r="C25" s="3"/>
    </row>
    <row r="26" spans="1:10">
      <c r="C26" s="3"/>
    </row>
  </sheetData>
  <customSheetViews>
    <customSheetView guid="{746490BF-9C44-4B41-8803-BEC9E453576A}" showGridLines="0" topLeftCell="B1">
      <pane xSplit="1" ySplit="2" topLeftCell="C3" activePane="bottomRight" state="frozen"/>
      <selection pane="bottomRight" activeCell="N16" sqref="N16"/>
      <pageMargins left="0.7" right="0.7" top="0.75" bottom="0.75" header="0.3" footer="0.3"/>
    </customSheetView>
    <customSheetView guid="{9AF4A83C-CF57-4B40-8A74-6A0EA6C2FE5C}" showGridLines="0">
      <selection activeCell="B26" sqref="B26"/>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1"/>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8DA78CF1-615A-4626-9893-6751995631A4}" showGridLines="0" topLeftCell="C1">
      <selection activeCell="J11" sqref="J11"/>
      <pageMargins left="0.7" right="0.7" top="0.75" bottom="0.75" header="0.3" footer="0.3"/>
    </customSheetView>
    <customSheetView guid="{57267270-6A97-4850-9DB6-FE6B399379AA}" showGridLines="0">
      <selection activeCell="B26" sqref="B26"/>
      <pageMargins left="0.7" right="0.7" top="0.75" bottom="0.75" header="0.3" footer="0.3"/>
    </customSheetView>
    <customSheetView guid="{687A4863-1825-4D63-B732-E76682E6DE4F}" showGridLines="0">
      <selection activeCell="B25" sqref="B25"/>
      <pageMargins left="0.7" right="0.7" top="0.75" bottom="0.75" header="0.3" footer="0.3"/>
    </customSheetView>
    <customSheetView guid="{12F8D032-8143-430B-8DFF-852E8796C402}" showGridLines="0" topLeftCell="B1">
      <selection activeCell="B20" sqref="B20"/>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3" sqref="D13"/>
    </sheetView>
  </sheetViews>
  <sheetFormatPr defaultRowHeight="15"/>
  <sheetData/>
  <customSheetViews>
    <customSheetView guid="{746490BF-9C44-4B41-8803-BEC9E453576A}" state="hidden">
      <selection activeCell="D13" sqref="D13"/>
      <pageMargins left="0.7" right="0.7" top="0.75" bottom="0.75" header="0.3" footer="0.3"/>
    </customSheetView>
    <customSheetView guid="{9AF4A83C-CF57-4B40-8A74-6A0EA6C2FE5C}">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8DA78CF1-615A-4626-9893-6751995631A4}">
      <selection activeCell="K36" sqref="K36"/>
      <pageMargins left="0.7" right="0.7" top="0.75" bottom="0.75" header="0.3" footer="0.3"/>
    </customSheetView>
    <customSheetView guid="{687A4863-1825-4D63-B732-E76682E6DE4F}">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83"/>
  <sheetViews>
    <sheetView zoomScaleNormal="100" zoomScaleSheetLayoutView="90" workbookViewId="0">
      <pane xSplit="3" ySplit="1" topLeftCell="D2" activePane="bottomRight" state="frozen"/>
      <selection pane="topRight" activeCell="D1" sqref="D1"/>
      <selection pane="bottomLeft" activeCell="A2" sqref="A2"/>
      <selection pane="bottomRight" activeCell="D2" sqref="D2"/>
    </sheetView>
  </sheetViews>
  <sheetFormatPr defaultColWidth="9.85546875" defaultRowHeight="14.25"/>
  <cols>
    <col min="1" max="1" width="5.140625" style="6" customWidth="1"/>
    <col min="2" max="2" width="55.42578125" style="6" customWidth="1"/>
    <col min="3" max="3" width="52.42578125" style="6" customWidth="1"/>
    <col min="4" max="19" width="13.42578125" style="6" customWidth="1"/>
    <col min="20" max="20" width="12" style="6" customWidth="1"/>
    <col min="21" max="21" width="10.42578125" style="6" bestFit="1" customWidth="1"/>
    <col min="22" max="16384" width="9.85546875" style="6"/>
  </cols>
  <sheetData>
    <row r="1" spans="2:19" s="21" customFormat="1" ht="32.25" customHeight="1" thickBot="1">
      <c r="B1" s="4" t="s">
        <v>337</v>
      </c>
      <c r="C1" s="4" t="s">
        <v>316</v>
      </c>
      <c r="D1" s="256" t="s">
        <v>165</v>
      </c>
      <c r="E1" s="256" t="s">
        <v>166</v>
      </c>
      <c r="F1" s="256" t="s">
        <v>167</v>
      </c>
      <c r="G1" s="256" t="s">
        <v>168</v>
      </c>
      <c r="H1" s="325">
        <v>43101</v>
      </c>
      <c r="I1" s="256" t="s">
        <v>169</v>
      </c>
      <c r="J1" s="256" t="s">
        <v>170</v>
      </c>
      <c r="K1" s="256" t="s">
        <v>171</v>
      </c>
      <c r="L1" s="257">
        <v>43465</v>
      </c>
      <c r="M1" s="280">
        <v>43555</v>
      </c>
      <c r="N1" s="257">
        <v>43646</v>
      </c>
      <c r="O1" s="257">
        <v>43738</v>
      </c>
      <c r="P1" s="257">
        <v>43830</v>
      </c>
      <c r="Q1" s="325">
        <v>43921</v>
      </c>
      <c r="R1" s="325">
        <v>44012</v>
      </c>
      <c r="S1" s="325">
        <v>44104</v>
      </c>
    </row>
    <row r="2" spans="2:19" ht="15" customHeight="1">
      <c r="B2" s="22" t="s">
        <v>61</v>
      </c>
      <c r="C2" s="22" t="s">
        <v>16</v>
      </c>
    </row>
    <row r="3" spans="2:19"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row>
    <row r="4" spans="2:19"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row>
    <row r="5" spans="2:19"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row>
    <row r="6" spans="2:19"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row>
    <row r="7" spans="2:19"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row>
    <row r="8" spans="2:19"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row>
    <row r="9" spans="2:19"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row>
    <row r="10" spans="2:19"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row>
    <row r="11" spans="2:19"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row>
    <row r="12" spans="2:19"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row>
    <row r="13" spans="2:19"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row>
    <row r="14" spans="2:19"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row>
    <row r="15" spans="2:19"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row>
    <row r="16" spans="2:19" ht="27" customHeight="1">
      <c r="B16" s="430" t="s">
        <v>683</v>
      </c>
      <c r="C16" s="428" t="s">
        <v>682</v>
      </c>
      <c r="D16" s="9"/>
      <c r="E16" s="9"/>
      <c r="F16" s="9"/>
      <c r="G16" s="9"/>
      <c r="H16" s="9"/>
      <c r="I16" s="9"/>
      <c r="J16" s="9"/>
      <c r="K16" s="9"/>
      <c r="L16" s="9"/>
      <c r="M16" s="9"/>
      <c r="N16" s="9"/>
      <c r="O16" s="9"/>
      <c r="P16" s="9"/>
      <c r="Q16" s="9"/>
      <c r="R16" s="9"/>
      <c r="S16" s="9">
        <v>105973</v>
      </c>
    </row>
    <row r="17" spans="2:21" ht="27" customHeight="1">
      <c r="B17" s="8" t="s">
        <v>630</v>
      </c>
      <c r="C17" s="8" t="s">
        <v>631</v>
      </c>
      <c r="D17" s="9">
        <f>D70--D73</f>
        <v>0</v>
      </c>
      <c r="E17" s="9">
        <f>E70--E73</f>
        <v>0</v>
      </c>
      <c r="F17" s="9">
        <f>F70--F73</f>
        <v>0</v>
      </c>
      <c r="G17" s="9">
        <f>G70--G73</f>
        <v>0</v>
      </c>
      <c r="H17" s="9">
        <v>2385727</v>
      </c>
      <c r="I17" s="9">
        <v>2607112</v>
      </c>
      <c r="J17" s="9">
        <v>1638155</v>
      </c>
      <c r="K17" s="9">
        <v>2746983</v>
      </c>
      <c r="L17" s="9">
        <v>1708744</v>
      </c>
      <c r="M17" s="9">
        <v>1601898</v>
      </c>
      <c r="N17" s="9">
        <v>1216615</v>
      </c>
      <c r="O17" s="9">
        <v>1167517</v>
      </c>
      <c r="P17" s="9">
        <v>1089558</v>
      </c>
      <c r="Q17" s="9">
        <v>1152234</v>
      </c>
      <c r="R17" s="9">
        <v>1129955</v>
      </c>
      <c r="S17" s="9">
        <v>828689</v>
      </c>
    </row>
    <row r="18" spans="2:21"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v>947922</v>
      </c>
      <c r="S18" s="9">
        <v>978234</v>
      </c>
    </row>
    <row r="19" spans="2:21"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row>
    <row r="20" spans="2:21"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row>
    <row r="21" spans="2:21"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row>
    <row r="22" spans="2:21"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751195</v>
      </c>
      <c r="S22" s="9">
        <v>735823</v>
      </c>
    </row>
    <row r="23" spans="2:21"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row>
    <row r="24" spans="2:21"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row>
    <row r="25" spans="2:21"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row>
    <row r="26" spans="2:21"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row>
    <row r="27" spans="2:21"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v>209476166</v>
      </c>
      <c r="Q27" s="24">
        <v>215899523</v>
      </c>
      <c r="R27" s="24">
        <v>221609230</v>
      </c>
      <c r="S27" s="24">
        <f>S3+S4+S5+S6+S10+S12+S18+S19+S20+S21+S22+S24+S25+S26+S17</f>
        <v>222833964</v>
      </c>
      <c r="U27" s="429"/>
    </row>
    <row r="28" spans="2:21" ht="15" customHeight="1">
      <c r="B28" s="25" t="s">
        <v>72</v>
      </c>
      <c r="C28" s="25" t="s">
        <v>26</v>
      </c>
      <c r="D28" s="9"/>
      <c r="E28" s="9"/>
      <c r="F28" s="9"/>
      <c r="G28" s="9"/>
      <c r="H28" s="9"/>
      <c r="I28" s="9"/>
      <c r="J28" s="9"/>
      <c r="K28" s="9"/>
      <c r="L28" s="9"/>
      <c r="M28" s="9"/>
      <c r="N28" s="9"/>
      <c r="O28" s="9"/>
      <c r="P28" s="9"/>
      <c r="Q28" s="9"/>
      <c r="R28" s="9"/>
    </row>
    <row r="29" spans="2:21"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v>5370650</v>
      </c>
      <c r="S29" s="9">
        <v>5188853</v>
      </c>
    </row>
    <row r="30" spans="2:21" ht="26.45" customHeight="1">
      <c r="B30" s="8" t="s">
        <v>336</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row>
    <row r="31" spans="2:21"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row>
    <row r="32" spans="2:21"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row>
    <row r="33" spans="2:19"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row>
    <row r="34" spans="2:19"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row>
    <row r="35" spans="2:19"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row>
    <row r="36" spans="2:19"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row>
    <row r="37" spans="2:19" ht="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row>
    <row r="38" spans="2:19"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row>
    <row r="39" spans="2:19"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row>
    <row r="40" spans="2:19"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v>182496656</v>
      </c>
      <c r="Q40" s="27">
        <v>188658010</v>
      </c>
      <c r="R40" s="27">
        <v>193721721</v>
      </c>
      <c r="S40" s="27">
        <f>SUM(S29:S39)</f>
        <v>194377935</v>
      </c>
    </row>
    <row r="41" spans="2:19" ht="15" customHeight="1">
      <c r="B41" s="25" t="s">
        <v>79</v>
      </c>
      <c r="C41" s="25" t="s">
        <v>35</v>
      </c>
      <c r="D41" s="9"/>
      <c r="E41" s="9"/>
      <c r="F41" s="9"/>
      <c r="G41" s="9"/>
      <c r="H41" s="9"/>
      <c r="I41" s="9"/>
      <c r="J41" s="9"/>
      <c r="K41" s="9"/>
      <c r="L41" s="9"/>
      <c r="M41" s="9"/>
      <c r="N41" s="9"/>
      <c r="O41" s="9"/>
      <c r="P41" s="9"/>
      <c r="Q41" s="9"/>
      <c r="R41" s="9"/>
      <c r="S41" s="9"/>
    </row>
    <row r="42" spans="2:19"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v>25431987</v>
      </c>
      <c r="Q42" s="27">
        <v>25635076</v>
      </c>
      <c r="R42" s="27">
        <v>26317842</v>
      </c>
      <c r="S42" s="27">
        <f>SUM(S43:S47)</f>
        <v>26826490</v>
      </c>
    </row>
    <row r="43" spans="2:19"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row>
    <row r="44" spans="2:19"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row>
    <row r="45" spans="2:19"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row>
    <row r="46" spans="2:19"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row>
    <row r="47" spans="2:19"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row>
    <row r="48" spans="2:19"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8">
        <v>1547523</v>
      </c>
      <c r="Q48" s="28">
        <v>1606437</v>
      </c>
      <c r="R48" s="28">
        <v>1569667</v>
      </c>
      <c r="S48" s="28">
        <v>1629539</v>
      </c>
    </row>
    <row r="49" spans="2:19"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v>26979510</v>
      </c>
      <c r="Q49" s="27">
        <v>27241513</v>
      </c>
      <c r="R49" s="27">
        <v>27887509</v>
      </c>
      <c r="S49" s="27">
        <f>S42+S48</f>
        <v>28456029</v>
      </c>
    </row>
    <row r="50" spans="2:19" s="296" customFormat="1" ht="15" customHeight="1">
      <c r="B50" s="404" t="s">
        <v>267</v>
      </c>
      <c r="C50" s="404" t="s">
        <v>42</v>
      </c>
      <c r="D50" s="405">
        <v>147038306</v>
      </c>
      <c r="E50" s="405">
        <v>150005625</v>
      </c>
      <c r="F50" s="405">
        <v>152027395</v>
      </c>
      <c r="G50" s="405">
        <v>157194589</v>
      </c>
      <c r="H50" s="405">
        <v>156955344</v>
      </c>
      <c r="I50" s="405">
        <v>159841934</v>
      </c>
      <c r="J50" s="405">
        <v>171840340</v>
      </c>
      <c r="K50" s="405">
        <v>179895530</v>
      </c>
      <c r="L50" s="405">
        <v>206656303</v>
      </c>
      <c r="M50" s="405">
        <v>209028511</v>
      </c>
      <c r="N50" s="405">
        <v>205901246</v>
      </c>
      <c r="O50" s="405">
        <v>204072985</v>
      </c>
      <c r="P50" s="405">
        <v>209476166</v>
      </c>
      <c r="Q50" s="405">
        <v>215899523</v>
      </c>
      <c r="R50" s="405">
        <v>221609230</v>
      </c>
      <c r="S50" s="405">
        <f>S40+S49</f>
        <v>222833964</v>
      </c>
    </row>
    <row r="51" spans="2:19" s="296" customFormat="1"/>
    <row r="52" spans="2:19" s="296" customFormat="1">
      <c r="S52" s="427"/>
    </row>
    <row r="53" spans="2:19">
      <c r="S53" s="454"/>
    </row>
    <row r="54" spans="2:19">
      <c r="S54" s="454"/>
    </row>
    <row r="55" spans="2:19">
      <c r="S55" s="455"/>
    </row>
    <row r="56" spans="2:19">
      <c r="S56" s="456"/>
    </row>
    <row r="57" spans="2:19">
      <c r="S57" s="456"/>
    </row>
    <row r="58" spans="2:19">
      <c r="S58" s="456"/>
    </row>
    <row r="59" spans="2:19">
      <c r="S59" s="456"/>
    </row>
    <row r="60" spans="2:19">
      <c r="S60" s="455"/>
    </row>
    <row r="61" spans="2:19">
      <c r="S61" s="455"/>
    </row>
    <row r="62" spans="2:19">
      <c r="S62" s="454"/>
    </row>
    <row r="63" spans="2:19">
      <c r="S63" s="456"/>
    </row>
    <row r="64" spans="2:19">
      <c r="S64" s="456"/>
    </row>
    <row r="65" spans="19:19">
      <c r="S65" s="456"/>
    </row>
    <row r="66" spans="19:19">
      <c r="S66" s="456"/>
    </row>
    <row r="67" spans="19:19">
      <c r="S67" s="455"/>
    </row>
    <row r="68" spans="19:19">
      <c r="S68" s="456"/>
    </row>
    <row r="69" spans="19:19">
      <c r="S69" s="456"/>
    </row>
    <row r="70" spans="19:19">
      <c r="S70" s="457"/>
    </row>
    <row r="71" spans="19:19">
      <c r="S71" s="457"/>
    </row>
    <row r="72" spans="19:19">
      <c r="S72" s="457"/>
    </row>
    <row r="73" spans="19:19">
      <c r="S73" s="457"/>
    </row>
    <row r="74" spans="19:19">
      <c r="S74" s="457"/>
    </row>
    <row r="75" spans="19:19">
      <c r="S75" s="457"/>
    </row>
    <row r="76" spans="19:19">
      <c r="S76" s="455"/>
    </row>
    <row r="77" spans="19:19">
      <c r="S77" s="458"/>
    </row>
    <row r="78" spans="19:19">
      <c r="S78" s="459"/>
    </row>
    <row r="79" spans="19:19">
      <c r="S79" s="459"/>
    </row>
    <row r="80" spans="19:19">
      <c r="S80" s="459"/>
    </row>
    <row r="81" spans="19:19">
      <c r="S81" s="459"/>
    </row>
    <row r="82" spans="19:19">
      <c r="S82" s="459"/>
    </row>
    <row r="83" spans="19:19">
      <c r="S83" s="296"/>
    </row>
  </sheetData>
  <customSheetViews>
    <customSheetView guid="{746490BF-9C44-4B41-8803-BEC9E453576A}">
      <pane xSplit="3" ySplit="1" topLeftCell="D2" activePane="bottomRight" state="frozen"/>
      <selection pane="bottomRight" activeCell="D2" sqref="D2"/>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9AF4A83C-CF57-4B40-8A74-6A0EA6C2FE5C}" showPageBreaks="1" printArea="1" hiddenColumns="1" topLeftCell="A19">
      <selection activeCell="S31" sqref="S31"/>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99D69CD-4B7E-42BC-9944-5BD922EB798C}" showPageBreaks="1" printArea="1" topLeftCell="C1">
      <pane xSplit="1" ySplit="1" topLeftCell="M2" activePane="bottomRight" state="frozen"/>
      <selection pane="bottomRight" activeCell="T20" sqref="T20"/>
      <pageMargins left="0" right="0" top="0.98425196850393704" bottom="0.98425196850393704" header="0.51181102362204722" footer="0.51181102362204722"/>
      <pageSetup paperSize="9" scale="48" orientation="landscape" r:id="rId3"/>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hiddenRows="1" topLeftCell="D1">
      <selection activeCell="N82" sqref="N82"/>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687A4863-1825-4D63-B732-E76682E6DE4F}"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12F8D032-8143-430B-8DFF-852E8796C402}"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abSelected="1" zoomScale="130" zoomScaleNormal="130" workbookViewId="0">
      <pane xSplit="6" ySplit="3" topLeftCell="G4" activePane="bottomRight" state="frozen"/>
      <selection pane="topRight" activeCell="G1" sqref="G1"/>
      <selection pane="bottomLeft" activeCell="A4" sqref="A4"/>
      <selection pane="bottomRight" activeCell="H20" sqref="H20"/>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1" width="16.85546875" style="133" customWidth="1"/>
    <col min="22"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c r="U1" s="140"/>
    </row>
    <row r="2" spans="3:28" ht="26.25" customHeight="1">
      <c r="C2" s="131" t="s">
        <v>698</v>
      </c>
      <c r="D2" s="131" t="s">
        <v>477</v>
      </c>
      <c r="E2" s="131"/>
      <c r="F2" s="131"/>
      <c r="G2" s="132"/>
      <c r="H2" s="131"/>
      <c r="I2" s="131"/>
      <c r="J2" s="131"/>
      <c r="K2" s="132"/>
      <c r="L2" s="131"/>
      <c r="M2" s="131"/>
      <c r="N2" s="131"/>
      <c r="O2" s="131"/>
      <c r="P2" s="131"/>
      <c r="Q2" s="131"/>
      <c r="R2" s="131"/>
      <c r="S2" s="131"/>
      <c r="T2" s="131"/>
      <c r="U2" s="131"/>
    </row>
    <row r="3" spans="3:28" ht="15.75" customHeight="1" thickBot="1">
      <c r="C3" s="134" t="s">
        <v>468</v>
      </c>
      <c r="D3" s="134" t="s">
        <v>478</v>
      </c>
      <c r="E3" s="134"/>
      <c r="F3" s="134"/>
      <c r="G3" s="217" t="s">
        <v>499</v>
      </c>
      <c r="H3" s="217" t="s">
        <v>166</v>
      </c>
      <c r="I3" s="217" t="s">
        <v>167</v>
      </c>
      <c r="J3" s="217" t="s">
        <v>488</v>
      </c>
      <c r="K3" s="217" t="s">
        <v>467</v>
      </c>
      <c r="L3" s="217" t="s">
        <v>170</v>
      </c>
      <c r="M3" s="217" t="s">
        <v>171</v>
      </c>
      <c r="N3" s="217" t="s">
        <v>487</v>
      </c>
      <c r="O3" s="217" t="s">
        <v>466</v>
      </c>
      <c r="P3" s="135" t="s">
        <v>596</v>
      </c>
      <c r="Q3" s="135" t="s">
        <v>626</v>
      </c>
      <c r="R3" s="135" t="s">
        <v>660</v>
      </c>
      <c r="S3" s="420">
        <v>43921</v>
      </c>
      <c r="T3" s="420">
        <v>44012</v>
      </c>
      <c r="U3" s="420">
        <v>44104</v>
      </c>
    </row>
    <row r="4" spans="3:28" ht="12" customHeight="1">
      <c r="C4" s="136" t="s">
        <v>582</v>
      </c>
      <c r="D4" s="136" t="s">
        <v>583</v>
      </c>
      <c r="E4" s="137" t="s">
        <v>493</v>
      </c>
      <c r="F4" s="137" t="s">
        <v>495</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6719</v>
      </c>
      <c r="V4" s="293"/>
      <c r="W4" s="293"/>
      <c r="X4" s="293"/>
      <c r="Y4" s="293"/>
      <c r="Z4" s="293"/>
      <c r="AA4" s="293"/>
      <c r="AB4" s="293"/>
    </row>
    <row r="5" spans="3:28" ht="12" customHeight="1">
      <c r="C5" s="238" t="s">
        <v>580</v>
      </c>
      <c r="D5" s="136" t="s">
        <v>581</v>
      </c>
      <c r="E5" s="137" t="s">
        <v>494</v>
      </c>
      <c r="F5" s="137" t="s">
        <v>495</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2880</v>
      </c>
      <c r="V5" s="293"/>
      <c r="W5" s="293"/>
      <c r="X5" s="293"/>
      <c r="Y5" s="293"/>
      <c r="Z5" s="293"/>
      <c r="AA5" s="293"/>
      <c r="AB5" s="293"/>
    </row>
    <row r="6" spans="3:28" ht="12" customHeight="1">
      <c r="C6" s="136" t="s">
        <v>586</v>
      </c>
      <c r="D6" s="136" t="s">
        <v>587</v>
      </c>
      <c r="E6" s="137" t="s">
        <v>494</v>
      </c>
      <c r="F6" s="137" t="s">
        <v>495</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1895</v>
      </c>
      <c r="V6" s="293"/>
      <c r="W6" s="293"/>
      <c r="X6" s="293"/>
      <c r="Y6" s="293"/>
      <c r="Z6" s="293"/>
      <c r="AA6" s="293"/>
      <c r="AB6" s="293"/>
    </row>
    <row r="7" spans="3:28" ht="10.5" customHeight="1">
      <c r="C7" s="206" t="s">
        <v>469</v>
      </c>
      <c r="D7" s="206" t="s">
        <v>479</v>
      </c>
      <c r="E7" s="207" t="s">
        <v>494</v>
      </c>
      <c r="F7" s="207" t="s">
        <v>495</v>
      </c>
      <c r="G7" s="214">
        <v>3470</v>
      </c>
      <c r="H7" s="214">
        <v>3471</v>
      </c>
      <c r="I7" s="214">
        <v>3538</v>
      </c>
      <c r="J7" s="214">
        <v>3624</v>
      </c>
      <c r="K7" s="214">
        <v>3630</v>
      </c>
      <c r="L7" s="214">
        <v>3694</v>
      </c>
      <c r="M7" s="214">
        <v>3761</v>
      </c>
      <c r="N7" s="214">
        <v>3981</v>
      </c>
      <c r="O7" s="214">
        <v>4082</v>
      </c>
      <c r="P7" s="287">
        <v>4054</v>
      </c>
      <c r="Q7" s="287">
        <v>4136</v>
      </c>
      <c r="R7" s="287">
        <v>4163</v>
      </c>
      <c r="S7" s="287">
        <v>4214</v>
      </c>
      <c r="T7" s="287">
        <v>4231</v>
      </c>
      <c r="U7" s="287">
        <v>4248</v>
      </c>
      <c r="V7" s="293"/>
      <c r="W7" s="293"/>
      <c r="X7" s="293"/>
      <c r="Y7" s="293"/>
      <c r="Z7" s="293"/>
      <c r="AA7" s="293"/>
      <c r="AB7" s="293"/>
    </row>
    <row r="8" spans="3:28" ht="10.5" customHeight="1">
      <c r="C8" s="138" t="s">
        <v>470</v>
      </c>
      <c r="D8" s="138" t="s">
        <v>480</v>
      </c>
      <c r="E8" s="139" t="s">
        <v>493</v>
      </c>
      <c r="F8" s="139" t="s">
        <v>495</v>
      </c>
      <c r="G8" s="147">
        <v>1225</v>
      </c>
      <c r="H8" s="147">
        <v>1233</v>
      </c>
      <c r="I8" s="147">
        <v>1257</v>
      </c>
      <c r="J8" s="147">
        <v>1271</v>
      </c>
      <c r="K8" s="147">
        <v>1272</v>
      </c>
      <c r="L8" s="147">
        <v>1273</v>
      </c>
      <c r="M8" s="147">
        <v>1279</v>
      </c>
      <c r="N8" s="147">
        <v>1325</v>
      </c>
      <c r="O8" s="147">
        <v>1331</v>
      </c>
      <c r="P8" s="215">
        <v>1302</v>
      </c>
      <c r="Q8" s="215">
        <v>1289</v>
      </c>
      <c r="R8" s="215">
        <v>1270</v>
      </c>
      <c r="S8" s="215">
        <v>1243</v>
      </c>
      <c r="T8" s="215">
        <v>1237</v>
      </c>
      <c r="U8" s="215">
        <v>1230</v>
      </c>
      <c r="V8" s="293"/>
      <c r="W8" s="293"/>
      <c r="X8" s="293"/>
      <c r="Y8" s="293"/>
      <c r="Z8" s="293"/>
      <c r="AA8" s="293"/>
      <c r="AB8" s="293"/>
    </row>
    <row r="9" spans="3:28" ht="12" customHeight="1">
      <c r="C9" s="136" t="s">
        <v>471</v>
      </c>
      <c r="D9" s="136" t="s">
        <v>481</v>
      </c>
      <c r="E9" s="137" t="s">
        <v>493</v>
      </c>
      <c r="F9" s="137" t="s">
        <v>495</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293"/>
      <c r="W9" s="293"/>
      <c r="X9" s="293"/>
      <c r="Y9" s="293"/>
      <c r="Z9" s="293"/>
      <c r="AA9" s="293"/>
      <c r="AB9" s="293"/>
    </row>
    <row r="10" spans="3:28" ht="12" customHeight="1">
      <c r="C10" s="208" t="s">
        <v>496</v>
      </c>
      <c r="D10" s="208" t="s">
        <v>497</v>
      </c>
      <c r="E10" s="209" t="s">
        <v>493</v>
      </c>
      <c r="F10" s="209" t="s">
        <v>495</v>
      </c>
      <c r="G10" s="215">
        <v>3935</v>
      </c>
      <c r="H10" s="215">
        <v>3977</v>
      </c>
      <c r="I10" s="215">
        <v>3916</v>
      </c>
      <c r="J10" s="215">
        <v>3954</v>
      </c>
      <c r="K10" s="215">
        <v>3993</v>
      </c>
      <c r="L10" s="215">
        <v>4050</v>
      </c>
      <c r="M10" s="215">
        <v>4103</v>
      </c>
      <c r="N10" s="215">
        <v>4459</v>
      </c>
      <c r="O10" s="215">
        <v>4490</v>
      </c>
      <c r="P10" s="215">
        <v>4535</v>
      </c>
      <c r="Q10" s="215">
        <v>4598</v>
      </c>
      <c r="R10" s="215">
        <v>4643</v>
      </c>
      <c r="S10" s="215">
        <v>4720</v>
      </c>
      <c r="T10" s="215">
        <v>4765</v>
      </c>
      <c r="U10" s="215">
        <v>4844</v>
      </c>
      <c r="V10" s="293"/>
      <c r="W10" s="293"/>
      <c r="X10" s="293"/>
      <c r="Y10" s="293"/>
      <c r="Z10" s="293"/>
      <c r="AA10" s="293"/>
      <c r="AB10" s="293"/>
    </row>
    <row r="11" spans="3:28" ht="12" customHeight="1">
      <c r="C11" s="136" t="s">
        <v>472</v>
      </c>
      <c r="D11" s="136" t="s">
        <v>482</v>
      </c>
      <c r="E11" s="137" t="s">
        <v>473</v>
      </c>
      <c r="F11" s="137" t="s">
        <v>483</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293"/>
      <c r="W11" s="293"/>
      <c r="X11" s="293"/>
      <c r="Y11" s="293"/>
      <c r="Z11" s="293"/>
      <c r="AA11" s="293"/>
      <c r="AB11" s="293"/>
    </row>
    <row r="12" spans="3:28" ht="12" customHeight="1">
      <c r="C12" s="136" t="s">
        <v>474</v>
      </c>
      <c r="D12" s="136" t="s">
        <v>484</v>
      </c>
      <c r="E12" s="137" t="s">
        <v>473</v>
      </c>
      <c r="F12" s="137" t="s">
        <v>483</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293"/>
      <c r="W12" s="293"/>
      <c r="X12" s="293"/>
      <c r="Y12" s="293"/>
      <c r="Z12" s="293"/>
      <c r="AA12" s="293"/>
      <c r="AB12" s="293"/>
    </row>
    <row r="13" spans="3:28" ht="12" customHeight="1">
      <c r="C13" s="136" t="s">
        <v>677</v>
      </c>
      <c r="D13" s="136" t="s">
        <v>678</v>
      </c>
      <c r="E13" s="137" t="s">
        <v>473</v>
      </c>
      <c r="F13" s="137" t="s">
        <v>483</v>
      </c>
      <c r="G13" s="461"/>
      <c r="H13" s="461"/>
      <c r="I13" s="461"/>
      <c r="J13" s="461"/>
      <c r="K13" s="461"/>
      <c r="L13" s="461"/>
      <c r="M13" s="461"/>
      <c r="N13" s="461"/>
      <c r="O13" s="461"/>
      <c r="P13" s="461"/>
      <c r="Q13" s="461"/>
      <c r="R13" s="144">
        <v>10</v>
      </c>
      <c r="S13" s="144">
        <v>11</v>
      </c>
      <c r="T13" s="144">
        <v>11</v>
      </c>
      <c r="U13" s="144">
        <v>12</v>
      </c>
      <c r="V13" s="293"/>
      <c r="W13" s="293"/>
      <c r="X13" s="293"/>
      <c r="Y13" s="293"/>
      <c r="Z13" s="293"/>
      <c r="AA13" s="293"/>
      <c r="AB13" s="293"/>
    </row>
    <row r="14" spans="3:28" ht="12" customHeight="1">
      <c r="C14" s="208" t="s">
        <v>489</v>
      </c>
      <c r="D14" s="208" t="s">
        <v>498</v>
      </c>
      <c r="E14" s="209" t="s">
        <v>490</v>
      </c>
      <c r="F14" s="209" t="s">
        <v>491</v>
      </c>
      <c r="G14" s="215">
        <v>1753</v>
      </c>
      <c r="H14" s="215">
        <v>1741</v>
      </c>
      <c r="I14" s="215">
        <v>1726</v>
      </c>
      <c r="J14" s="215">
        <v>1732</v>
      </c>
      <c r="K14" s="215">
        <v>1744</v>
      </c>
      <c r="L14" s="215">
        <v>1739</v>
      </c>
      <c r="M14" s="215">
        <v>1725</v>
      </c>
      <c r="N14" s="215">
        <v>1762</v>
      </c>
      <c r="O14" s="215">
        <v>1746</v>
      </c>
      <c r="P14" s="215">
        <v>1726</v>
      </c>
      <c r="Q14" s="215">
        <v>1716</v>
      </c>
      <c r="R14" s="215">
        <v>1700</v>
      </c>
      <c r="S14" s="215">
        <v>1697</v>
      </c>
      <c r="T14" s="215">
        <v>1682</v>
      </c>
      <c r="U14" s="215">
        <v>1674</v>
      </c>
      <c r="V14" s="293"/>
      <c r="W14" s="293"/>
      <c r="X14" s="293"/>
      <c r="Y14" s="293"/>
      <c r="Z14" s="293"/>
      <c r="AA14" s="293"/>
      <c r="AB14" s="293"/>
    </row>
    <row r="15" spans="3:28" ht="12" customHeight="1">
      <c r="C15" s="210" t="s">
        <v>475</v>
      </c>
      <c r="D15" s="211" t="s">
        <v>485</v>
      </c>
      <c r="E15" s="212" t="s">
        <v>476</v>
      </c>
      <c r="F15" s="213" t="s">
        <v>486</v>
      </c>
      <c r="G15" s="216">
        <v>14699</v>
      </c>
      <c r="H15" s="216">
        <v>14558</v>
      </c>
      <c r="I15" s="216">
        <v>14473</v>
      </c>
      <c r="J15" s="216">
        <v>14383</v>
      </c>
      <c r="K15" s="216">
        <v>14330</v>
      </c>
      <c r="L15" s="216">
        <v>14286</v>
      </c>
      <c r="M15" s="216">
        <v>14030</v>
      </c>
      <c r="N15" s="216">
        <v>15347</v>
      </c>
      <c r="O15" s="216">
        <v>14642</v>
      </c>
      <c r="P15" s="215">
        <v>14058</v>
      </c>
      <c r="Q15" s="215">
        <v>13630</v>
      </c>
      <c r="R15" s="215">
        <v>13642</v>
      </c>
      <c r="S15" s="215">
        <v>13383</v>
      </c>
      <c r="T15" s="215">
        <v>13201</v>
      </c>
      <c r="U15" s="215">
        <v>12788</v>
      </c>
      <c r="V15" s="293"/>
      <c r="W15" s="293"/>
      <c r="X15" s="293"/>
      <c r="Y15" s="293"/>
      <c r="Z15" s="293"/>
      <c r="AA15" s="293"/>
      <c r="AB15" s="293"/>
    </row>
    <row r="16" spans="3:28" ht="15.6" customHeight="1" thickBot="1">
      <c r="C16" s="134" t="s">
        <v>555</v>
      </c>
      <c r="D16" s="134" t="s">
        <v>556</v>
      </c>
      <c r="E16" s="134"/>
      <c r="F16" s="134"/>
      <c r="G16" s="217" t="s">
        <v>499</v>
      </c>
      <c r="H16" s="217" t="s">
        <v>166</v>
      </c>
      <c r="I16" s="217" t="s">
        <v>167</v>
      </c>
      <c r="J16" s="217" t="s">
        <v>488</v>
      </c>
      <c r="K16" s="217" t="s">
        <v>467</v>
      </c>
      <c r="L16" s="217" t="s">
        <v>170</v>
      </c>
      <c r="M16" s="217" t="s">
        <v>171</v>
      </c>
      <c r="N16" s="217" t="s">
        <v>487</v>
      </c>
      <c r="O16" s="217" t="s">
        <v>466</v>
      </c>
      <c r="P16" s="217" t="s">
        <v>596</v>
      </c>
      <c r="Q16" s="217" t="s">
        <v>626</v>
      </c>
      <c r="R16" s="217" t="s">
        <v>626</v>
      </c>
      <c r="S16" s="421">
        <f>S3</f>
        <v>43921</v>
      </c>
      <c r="T16" s="421">
        <v>44012</v>
      </c>
      <c r="U16" s="421">
        <v>44012</v>
      </c>
      <c r="V16" s="293"/>
      <c r="W16" s="293"/>
      <c r="X16" s="293"/>
      <c r="Y16" s="293"/>
      <c r="Z16" s="293"/>
      <c r="AA16" s="293"/>
      <c r="AB16" s="293"/>
    </row>
    <row r="17" spans="1:28" ht="14.45" customHeight="1">
      <c r="C17" s="143" t="s">
        <v>680</v>
      </c>
      <c r="D17" s="143" t="s">
        <v>681</v>
      </c>
      <c r="E17" s="139" t="s">
        <v>557</v>
      </c>
      <c r="F17" s="139" t="s">
        <v>558</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U17" s="147">
        <v>14535650</v>
      </c>
      <c r="V17" s="293"/>
      <c r="W17" s="293"/>
      <c r="X17" s="293"/>
      <c r="Y17" s="293"/>
      <c r="Z17" s="293"/>
      <c r="AA17" s="293"/>
      <c r="AB17" s="293"/>
    </row>
    <row r="18" spans="1:28" ht="12" customHeight="1">
      <c r="C18" s="142"/>
      <c r="D18" s="142"/>
      <c r="E18" s="142"/>
      <c r="F18" s="142"/>
      <c r="G18" s="219"/>
      <c r="H18" s="219"/>
      <c r="I18" s="219"/>
      <c r="J18" s="219"/>
      <c r="K18" s="219"/>
      <c r="L18" s="219"/>
      <c r="M18" s="219"/>
      <c r="N18" s="219"/>
      <c r="O18" s="219"/>
      <c r="P18" s="219"/>
      <c r="Q18" s="219"/>
      <c r="R18" s="219"/>
      <c r="S18" s="219"/>
      <c r="T18" s="219"/>
      <c r="U18" s="219"/>
    </row>
    <row r="19" spans="1:28" ht="54" customHeight="1">
      <c r="A19" s="239"/>
      <c r="B19" s="240" t="s">
        <v>579</v>
      </c>
      <c r="C19" s="241" t="s">
        <v>692</v>
      </c>
      <c r="D19" s="247" t="s">
        <v>696</v>
      </c>
      <c r="G19" s="218"/>
      <c r="H19" s="218"/>
      <c r="I19" s="218"/>
      <c r="J19" s="218"/>
      <c r="K19" s="218"/>
      <c r="L19" s="218"/>
      <c r="M19" s="218"/>
      <c r="N19" s="218"/>
      <c r="O19" s="218"/>
    </row>
    <row r="20" spans="1:28" ht="60" customHeight="1">
      <c r="A20" s="239"/>
      <c r="B20" s="240" t="s">
        <v>578</v>
      </c>
      <c r="C20" s="241" t="s">
        <v>693</v>
      </c>
      <c r="D20" s="247" t="s">
        <v>694</v>
      </c>
      <c r="G20" s="218"/>
      <c r="H20" s="218"/>
      <c r="I20" s="218"/>
      <c r="J20" s="218"/>
      <c r="K20" s="218"/>
      <c r="L20" s="218"/>
      <c r="M20" s="218"/>
      <c r="N20" s="218"/>
      <c r="O20" s="218"/>
    </row>
    <row r="21" spans="1:28" ht="21.6" customHeight="1">
      <c r="B21" s="240" t="s">
        <v>453</v>
      </c>
      <c r="C21" s="241" t="s">
        <v>679</v>
      </c>
      <c r="D21" s="247" t="s">
        <v>695</v>
      </c>
      <c r="G21" s="218"/>
      <c r="H21" s="218"/>
      <c r="I21" s="218"/>
      <c r="J21" s="218"/>
      <c r="K21" s="218"/>
      <c r="L21" s="218"/>
      <c r="M21" s="218"/>
      <c r="N21" s="218"/>
      <c r="O21" s="218"/>
    </row>
    <row r="22" spans="1:28" ht="21" customHeight="1">
      <c r="B22" s="240" t="s">
        <v>454</v>
      </c>
      <c r="C22" s="241" t="s">
        <v>584</v>
      </c>
      <c r="D22" s="247" t="s">
        <v>585</v>
      </c>
      <c r="H22" s="145"/>
      <c r="K22" s="145"/>
      <c r="L22" s="145"/>
      <c r="N22" s="145"/>
      <c r="O22" s="145"/>
      <c r="P22" s="145"/>
      <c r="Q22" s="145"/>
      <c r="R22" s="145"/>
      <c r="S22" s="145"/>
      <c r="T22" s="145"/>
      <c r="U22" s="145"/>
    </row>
    <row r="23" spans="1:28" ht="12" customHeight="1">
      <c r="C23" s="136"/>
      <c r="D23" s="136"/>
      <c r="E23" s="137"/>
      <c r="F23" s="137"/>
      <c r="G23" s="144"/>
      <c r="H23" s="144"/>
      <c r="I23" s="144"/>
      <c r="J23" s="144"/>
      <c r="K23" s="144"/>
      <c r="L23" s="144"/>
      <c r="M23" s="144"/>
      <c r="N23" s="144"/>
      <c r="O23" s="144"/>
      <c r="P23" s="144"/>
      <c r="Q23" s="144"/>
      <c r="R23" s="144"/>
      <c r="S23" s="144"/>
      <c r="T23" s="144"/>
      <c r="U23" s="144"/>
    </row>
  </sheetData>
  <customSheetViews>
    <customSheetView guid="{746490BF-9C44-4B41-8803-BEC9E453576A}" scale="130" showGridLines="0" fitToPage="1">
      <pane xSplit="6" ySplit="3" topLeftCell="G4" activePane="bottomRight" state="frozen"/>
      <selection pane="bottomRight" activeCell="H20" sqref="H20"/>
      <pageMargins left="0.7" right="0.7" top="0.75" bottom="0.75" header="0.3" footer="0.3"/>
      <pageSetup paperSize="9" scale="37" fitToHeight="0" orientation="landscape" r:id="rId1"/>
    </customSheetView>
    <customSheetView guid="{9AF4A83C-CF57-4B40-8A74-6A0EA6C2FE5C}" showGridLines="0" fitToPage="1" topLeftCell="D1">
      <selection activeCell="D32" sqref="D32"/>
      <pageMargins left="0.7" right="0.7" top="0.75" bottom="0.75" header="0.3" footer="0.3"/>
      <pageSetup paperSize="9" scale="37" fitToHeight="0" orientation="landscape" r:id="rId2"/>
    </customSheetView>
    <customSheetView guid="{899D69CD-4B7E-42BC-9944-5BD922EB798C}" fitToPage="1">
      <selection activeCell="P14" sqref="P14"/>
      <pageMargins left="0.7" right="0.7" top="0.75" bottom="0.75" header="0.3" footer="0.3"/>
      <pageSetup paperSize="9" scale="37" fitToHeight="0" orientation="landscape" r:id="rId3"/>
    </customSheetView>
    <customSheetView guid="{25FAB884-5E17-4008-8139-33D910C7DEFE}" fitToPage="1">
      <selection activeCell="P14" sqref="P14"/>
      <pageMargins left="0.7" right="0.7" top="0.75" bottom="0.75" header="0.3" footer="0.3"/>
      <pageSetup paperSize="9" scale="37" fitToHeight="0" orientation="landscape" r:id="rId4"/>
    </customSheetView>
    <customSheetView guid="{8DA78CF1-615A-4626-9893-6751995631A4}" showGridLines="0" fitToPage="1" topLeftCell="N1">
      <selection activeCell="S13" sqref="S13"/>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687A4863-1825-4D63-B732-E76682E6DE4F}" showGridLines="0" fitToPage="1" topLeftCell="C1">
      <selection activeCell="H28" sqref="H28"/>
      <pageMargins left="0.7" right="0.7" top="0.75" bottom="0.75" header="0.3" footer="0.3"/>
      <pageSetup paperSize="9" scale="37" fitToHeight="0" orientation="landscape" r:id="rId7"/>
    </customSheetView>
    <customSheetView guid="{12F8D032-8143-430B-8DFF-852E8796C402}" showGridLines="0" fitToPage="1" topLeftCell="Q1">
      <selection activeCell="U7" sqref="U7"/>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746490BF-9C44-4B41-8803-BEC9E453576A}"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workbookViewId="0">
      <pane xSplit="2" ySplit="1" topLeftCell="H2" activePane="bottomRight" state="frozen"/>
      <selection pane="topRight" activeCell="C1" sqref="C1"/>
      <selection pane="bottomLeft" activeCell="A2" sqref="A2"/>
      <selection pane="bottomRight" activeCell="C2" sqref="C2"/>
    </sheetView>
  </sheetViews>
  <sheetFormatPr defaultColWidth="8.85546875" defaultRowHeight="14.25"/>
  <cols>
    <col min="1" max="2" width="50.85546875" style="6" customWidth="1"/>
    <col min="3" max="9" width="13.42578125" style="6" customWidth="1"/>
    <col min="10" max="16" width="13.42578125" style="324" customWidth="1"/>
    <col min="17" max="17" width="11.140625" style="6" bestFit="1" customWidth="1"/>
    <col min="18" max="16384" width="8.85546875" style="6"/>
  </cols>
  <sheetData>
    <row r="1" spans="1:17" s="378" customFormat="1" ht="19.5" customHeight="1" thickBot="1">
      <c r="A1" s="376" t="s">
        <v>89</v>
      </c>
      <c r="B1" s="376" t="s">
        <v>1</v>
      </c>
      <c r="C1" s="377" t="s">
        <v>189</v>
      </c>
      <c r="D1" s="377" t="s">
        <v>190</v>
      </c>
      <c r="E1" s="377" t="s">
        <v>191</v>
      </c>
      <c r="F1" s="377" t="s">
        <v>192</v>
      </c>
      <c r="G1" s="377" t="s">
        <v>193</v>
      </c>
      <c r="H1" s="377" t="s">
        <v>194</v>
      </c>
      <c r="I1" s="377" t="s">
        <v>195</v>
      </c>
      <c r="J1" s="377" t="s">
        <v>196</v>
      </c>
      <c r="K1" s="377" t="s">
        <v>197</v>
      </c>
      <c r="L1" s="377" t="s">
        <v>198</v>
      </c>
      <c r="M1" s="377" t="s">
        <v>623</v>
      </c>
      <c r="N1" s="377" t="s">
        <v>632</v>
      </c>
      <c r="O1" s="377" t="s">
        <v>670</v>
      </c>
      <c r="P1" s="377" t="s">
        <v>674</v>
      </c>
      <c r="Q1" s="377" t="s">
        <v>685</v>
      </c>
    </row>
    <row r="2" spans="1:17" s="22" customFormat="1" ht="28.5">
      <c r="A2" s="384" t="s">
        <v>244</v>
      </c>
      <c r="B2" s="384" t="s">
        <v>150</v>
      </c>
      <c r="C2" s="379">
        <f>SUM(C3:C4,C6,C7:C10)</f>
        <v>1559802</v>
      </c>
      <c r="D2" s="379">
        <f>SUM(D3:D4,D6,D7:D10)</f>
        <v>1620968</v>
      </c>
      <c r="E2" s="379">
        <f>SUM(E3:E4,E6,E7:E10)</f>
        <v>1663808</v>
      </c>
      <c r="F2" s="379">
        <f>SUM(F3:F4,F6,F7:F10)</f>
        <v>1684729</v>
      </c>
      <c r="G2" s="379">
        <f>SUM(G3:G4,G6,G7:G10)</f>
        <v>1688501</v>
      </c>
      <c r="H2" s="379">
        <f t="shared" ref="H2:P2" si="0">SUM(H3:H4,H6,H7:H10)</f>
        <v>1736743</v>
      </c>
      <c r="I2" s="379">
        <f t="shared" si="0"/>
        <v>1805709</v>
      </c>
      <c r="J2" s="379">
        <f t="shared" si="0"/>
        <v>1982843</v>
      </c>
      <c r="K2" s="379">
        <f t="shared" si="0"/>
        <v>2081699</v>
      </c>
      <c r="L2" s="379">
        <f t="shared" si="0"/>
        <v>2116449</v>
      </c>
      <c r="M2" s="379">
        <f t="shared" si="0"/>
        <v>2166156</v>
      </c>
      <c r="N2" s="379">
        <f t="shared" si="0"/>
        <v>2097532</v>
      </c>
      <c r="O2" s="379">
        <f t="shared" si="0"/>
        <v>2050090</v>
      </c>
      <c r="P2" s="379">
        <f t="shared" si="0"/>
        <v>1758240</v>
      </c>
      <c r="Q2" s="379">
        <f>SUM(Q3:Q4,Q6,Q7:Q10)</f>
        <v>1548842</v>
      </c>
    </row>
    <row r="3" spans="1:17" ht="15" customHeight="1">
      <c r="A3" s="385" t="s">
        <v>646</v>
      </c>
      <c r="B3" s="385" t="s">
        <v>645</v>
      </c>
      <c r="C3" s="380">
        <v>460085</v>
      </c>
      <c r="D3" s="380">
        <v>487186</v>
      </c>
      <c r="E3" s="380">
        <v>492361</v>
      </c>
      <c r="F3" s="380">
        <v>497431</v>
      </c>
      <c r="G3" s="380">
        <f t="shared" ref="G3:N3" si="1">G12+G20+G23</f>
        <v>496216</v>
      </c>
      <c r="H3" s="380">
        <f t="shared" si="1"/>
        <v>511595</v>
      </c>
      <c r="I3" s="380">
        <f t="shared" si="1"/>
        <v>534737</v>
      </c>
      <c r="J3" s="380">
        <f t="shared" si="1"/>
        <v>580009</v>
      </c>
      <c r="K3" s="380">
        <f t="shared" si="1"/>
        <v>612516</v>
      </c>
      <c r="L3" s="380">
        <f t="shared" si="1"/>
        <v>622815</v>
      </c>
      <c r="M3" s="380">
        <f t="shared" si="1"/>
        <v>638868</v>
      </c>
      <c r="N3" s="380">
        <f t="shared" si="1"/>
        <v>645950</v>
      </c>
      <c r="O3" s="380">
        <f t="shared" ref="O3:P3" si="2">O12+O20+O23</f>
        <v>626627</v>
      </c>
      <c r="P3" s="380">
        <f t="shared" si="2"/>
        <v>527245</v>
      </c>
      <c r="Q3" s="431">
        <f>Q12+Q20+Q23</f>
        <v>462046</v>
      </c>
    </row>
    <row r="4" spans="1:17" ht="15" customHeight="1">
      <c r="A4" s="385" t="s">
        <v>246</v>
      </c>
      <c r="B4" s="385" t="s">
        <v>175</v>
      </c>
      <c r="C4" s="380">
        <v>853134</v>
      </c>
      <c r="D4" s="380">
        <v>888127</v>
      </c>
      <c r="E4" s="380">
        <v>920251</v>
      </c>
      <c r="F4" s="380">
        <v>940928</v>
      </c>
      <c r="G4" s="380">
        <f t="shared" ref="G4:N5" si="3">G13+G24</f>
        <v>947745</v>
      </c>
      <c r="H4" s="380">
        <f t="shared" si="3"/>
        <v>978260</v>
      </c>
      <c r="I4" s="380">
        <f t="shared" si="3"/>
        <v>1002343</v>
      </c>
      <c r="J4" s="380">
        <f t="shared" si="3"/>
        <v>1100303</v>
      </c>
      <c r="K4" s="380">
        <f t="shared" si="3"/>
        <v>1156682</v>
      </c>
      <c r="L4" s="380">
        <f t="shared" si="3"/>
        <v>1194984</v>
      </c>
      <c r="M4" s="380">
        <f t="shared" si="3"/>
        <v>1239653</v>
      </c>
      <c r="N4" s="380">
        <f t="shared" si="3"/>
        <v>1173562</v>
      </c>
      <c r="O4" s="380">
        <f>O13+O24</f>
        <v>1161883</v>
      </c>
      <c r="P4" s="380">
        <f>P13+P24</f>
        <v>1000596</v>
      </c>
      <c r="Q4" s="431">
        <f>Q13+Q24</f>
        <v>868014</v>
      </c>
    </row>
    <row r="5" spans="1:17" s="15" customFormat="1" ht="15" customHeight="1">
      <c r="A5" s="386" t="s">
        <v>247</v>
      </c>
      <c r="B5" s="386" t="s">
        <v>259</v>
      </c>
      <c r="C5" s="381">
        <v>250682</v>
      </c>
      <c r="D5" s="381">
        <v>262395</v>
      </c>
      <c r="E5" s="381">
        <v>273039</v>
      </c>
      <c r="F5" s="381">
        <v>280480</v>
      </c>
      <c r="G5" s="380">
        <f t="shared" si="3"/>
        <v>280304</v>
      </c>
      <c r="H5" s="380">
        <f t="shared" si="3"/>
        <v>293213</v>
      </c>
      <c r="I5" s="380">
        <f t="shared" si="3"/>
        <v>303386</v>
      </c>
      <c r="J5" s="380">
        <f t="shared" si="3"/>
        <v>355178</v>
      </c>
      <c r="K5" s="380">
        <f t="shared" si="3"/>
        <v>396264</v>
      </c>
      <c r="L5" s="380">
        <f t="shared" si="3"/>
        <v>407861</v>
      </c>
      <c r="M5" s="380">
        <f t="shared" si="3"/>
        <v>418730</v>
      </c>
      <c r="N5" s="380">
        <f t="shared" si="3"/>
        <v>423653</v>
      </c>
      <c r="O5" s="380">
        <f t="shared" ref="O5:P5" si="4">O14+O25</f>
        <v>423909</v>
      </c>
      <c r="P5" s="380">
        <f t="shared" si="4"/>
        <v>359484</v>
      </c>
      <c r="Q5" s="432">
        <f>Q14+Q25</f>
        <v>286950</v>
      </c>
    </row>
    <row r="6" spans="1:17" ht="15" customHeight="1">
      <c r="A6" s="385" t="s">
        <v>651</v>
      </c>
      <c r="B6" s="385" t="s">
        <v>652</v>
      </c>
      <c r="C6" s="380">
        <v>161140</v>
      </c>
      <c r="D6" s="380">
        <v>162598</v>
      </c>
      <c r="E6" s="380">
        <v>169278</v>
      </c>
      <c r="F6" s="380">
        <v>167983</v>
      </c>
      <c r="G6" s="380">
        <f>G21+G26</f>
        <v>169101</v>
      </c>
      <c r="H6" s="380">
        <f t="shared" ref="H6:N6" si="5">H21+H26</f>
        <v>169183</v>
      </c>
      <c r="I6" s="380">
        <f t="shared" si="5"/>
        <v>192883</v>
      </c>
      <c r="J6" s="380">
        <f t="shared" si="5"/>
        <v>211727</v>
      </c>
      <c r="K6" s="380">
        <f t="shared" si="5"/>
        <v>228036</v>
      </c>
      <c r="L6" s="380">
        <f t="shared" si="5"/>
        <v>215282</v>
      </c>
      <c r="M6" s="380">
        <f t="shared" si="5"/>
        <v>203939</v>
      </c>
      <c r="N6" s="380">
        <f t="shared" si="5"/>
        <v>207409</v>
      </c>
      <c r="O6" s="380">
        <f t="shared" ref="O6:P6" si="6">O21+O26</f>
        <v>199946</v>
      </c>
      <c r="P6" s="380">
        <f t="shared" si="6"/>
        <v>204724</v>
      </c>
      <c r="Q6" s="431">
        <f>Q21+Q26</f>
        <v>213409</v>
      </c>
    </row>
    <row r="7" spans="1:17" ht="15" customHeight="1">
      <c r="A7" s="385" t="s">
        <v>249</v>
      </c>
      <c r="B7" s="385" t="s">
        <v>261</v>
      </c>
      <c r="C7" s="380">
        <v>3093</v>
      </c>
      <c r="D7" s="380">
        <v>6082</v>
      </c>
      <c r="E7" s="380">
        <v>9178</v>
      </c>
      <c r="F7" s="380">
        <v>8989</v>
      </c>
      <c r="G7" s="380">
        <f>G15</f>
        <v>13653</v>
      </c>
      <c r="H7" s="380">
        <f t="shared" ref="H7:N7" si="7">H15</f>
        <v>15780</v>
      </c>
      <c r="I7" s="380">
        <f t="shared" si="7"/>
        <v>16818</v>
      </c>
      <c r="J7" s="380">
        <f t="shared" si="7"/>
        <v>26701</v>
      </c>
      <c r="K7" s="380">
        <f t="shared" si="7"/>
        <v>24615</v>
      </c>
      <c r="L7" s="380">
        <f t="shared" si="7"/>
        <v>25573</v>
      </c>
      <c r="M7" s="380">
        <f t="shared" si="7"/>
        <v>26866</v>
      </c>
      <c r="N7" s="380">
        <f t="shared" si="7"/>
        <v>17314</v>
      </c>
      <c r="O7" s="380">
        <f t="shared" ref="O7:P7" si="8">O15</f>
        <v>11609</v>
      </c>
      <c r="P7" s="380">
        <f t="shared" si="8"/>
        <v>3725</v>
      </c>
      <c r="Q7" s="431">
        <f>Q15</f>
        <v>454</v>
      </c>
    </row>
    <row r="8" spans="1:17">
      <c r="A8" s="385" t="s">
        <v>62</v>
      </c>
      <c r="B8" s="385" t="s">
        <v>17</v>
      </c>
      <c r="C8" s="380">
        <v>15191</v>
      </c>
      <c r="D8" s="380">
        <v>16183</v>
      </c>
      <c r="E8" s="380">
        <v>16367</v>
      </c>
      <c r="F8" s="380">
        <v>16484</v>
      </c>
      <c r="G8" s="380">
        <f t="shared" ref="G8:N10" si="9">G16</f>
        <v>7691</v>
      </c>
      <c r="H8" s="380">
        <f t="shared" si="9"/>
        <v>8378</v>
      </c>
      <c r="I8" s="380">
        <f t="shared" si="9"/>
        <v>7816</v>
      </c>
      <c r="J8" s="380">
        <f t="shared" si="9"/>
        <v>11945</v>
      </c>
      <c r="K8" s="380">
        <f t="shared" si="9"/>
        <v>12821</v>
      </c>
      <c r="L8" s="380">
        <f t="shared" si="9"/>
        <v>12562</v>
      </c>
      <c r="M8" s="380">
        <f t="shared" si="9"/>
        <v>11057</v>
      </c>
      <c r="N8" s="380">
        <f t="shared" si="9"/>
        <v>11170</v>
      </c>
      <c r="O8" s="380">
        <f t="shared" ref="O8:P8" si="10">O16</f>
        <v>9889</v>
      </c>
      <c r="P8" s="380">
        <f t="shared" si="10"/>
        <v>2304</v>
      </c>
      <c r="Q8" s="431">
        <f>Q16</f>
        <v>228</v>
      </c>
    </row>
    <row r="9" spans="1:17">
      <c r="A9" s="385" t="s">
        <v>248</v>
      </c>
      <c r="B9" s="385" t="s">
        <v>177</v>
      </c>
      <c r="C9" s="380">
        <v>1710</v>
      </c>
      <c r="D9" s="380">
        <v>1518</v>
      </c>
      <c r="E9" s="380">
        <v>1445</v>
      </c>
      <c r="F9" s="380">
        <v>1703</v>
      </c>
      <c r="G9" s="380">
        <f t="shared" si="9"/>
        <v>1974</v>
      </c>
      <c r="H9" s="380">
        <f t="shared" si="9"/>
        <v>1941</v>
      </c>
      <c r="I9" s="380">
        <f t="shared" si="9"/>
        <v>2796</v>
      </c>
      <c r="J9" s="380">
        <f t="shared" si="9"/>
        <v>3083</v>
      </c>
      <c r="K9" s="380">
        <f t="shared" si="9"/>
        <v>2762</v>
      </c>
      <c r="L9" s="380">
        <f t="shared" si="9"/>
        <v>2496</v>
      </c>
      <c r="M9" s="380">
        <f t="shared" si="9"/>
        <v>2448</v>
      </c>
      <c r="N9" s="380">
        <f t="shared" si="9"/>
        <v>2447</v>
      </c>
      <c r="O9" s="380">
        <f t="shared" ref="O9:P9" si="11">O17</f>
        <v>2803</v>
      </c>
      <c r="P9" s="380">
        <f t="shared" si="11"/>
        <v>2330</v>
      </c>
      <c r="Q9" s="431">
        <f>Q17</f>
        <v>1514</v>
      </c>
    </row>
    <row r="10" spans="1:17">
      <c r="A10" s="385" t="s">
        <v>250</v>
      </c>
      <c r="B10" s="385" t="s">
        <v>262</v>
      </c>
      <c r="C10" s="380">
        <v>65449</v>
      </c>
      <c r="D10" s="380">
        <v>59274</v>
      </c>
      <c r="E10" s="380">
        <v>54928</v>
      </c>
      <c r="F10" s="380">
        <v>51211</v>
      </c>
      <c r="G10" s="380">
        <f t="shared" si="9"/>
        <v>52121</v>
      </c>
      <c r="H10" s="380">
        <f t="shared" si="9"/>
        <v>51606</v>
      </c>
      <c r="I10" s="380">
        <f t="shared" si="9"/>
        <v>48316</v>
      </c>
      <c r="J10" s="380">
        <f t="shared" si="9"/>
        <v>49075</v>
      </c>
      <c r="K10" s="380">
        <f t="shared" si="9"/>
        <v>44267</v>
      </c>
      <c r="L10" s="380">
        <f t="shared" si="9"/>
        <v>42737</v>
      </c>
      <c r="M10" s="380">
        <f t="shared" si="9"/>
        <v>43325</v>
      </c>
      <c r="N10" s="380">
        <f t="shared" si="9"/>
        <v>39680</v>
      </c>
      <c r="O10" s="380">
        <f t="shared" ref="O10:P10" si="12">O18</f>
        <v>37333</v>
      </c>
      <c r="P10" s="380">
        <f t="shared" si="12"/>
        <v>17316</v>
      </c>
      <c r="Q10" s="431">
        <f>Q18</f>
        <v>3177</v>
      </c>
    </row>
    <row r="11" spans="1:17" s="22" customFormat="1" ht="28.5">
      <c r="A11" s="384" t="s">
        <v>119</v>
      </c>
      <c r="B11" s="384" t="s">
        <v>123</v>
      </c>
      <c r="C11" s="12">
        <f t="shared" ref="C11:P11" si="13">SUM(C12:C13,C15,C16:C18)</f>
        <v>0</v>
      </c>
      <c r="D11" s="12">
        <f t="shared" si="13"/>
        <v>0</v>
      </c>
      <c r="E11" s="12">
        <f t="shared" si="13"/>
        <v>0</v>
      </c>
      <c r="F11" s="12">
        <f t="shared" si="13"/>
        <v>0</v>
      </c>
      <c r="G11" s="12">
        <f t="shared" si="13"/>
        <v>1487943</v>
      </c>
      <c r="H11" s="12">
        <f t="shared" si="13"/>
        <v>1537794</v>
      </c>
      <c r="I11" s="12">
        <f t="shared" si="13"/>
        <v>1584506</v>
      </c>
      <c r="J11" s="12">
        <f t="shared" si="13"/>
        <v>1734889</v>
      </c>
      <c r="K11" s="12">
        <f t="shared" si="13"/>
        <v>1821282</v>
      </c>
      <c r="L11" s="12">
        <f t="shared" si="13"/>
        <v>1869671</v>
      </c>
      <c r="M11" s="12">
        <f t="shared" si="13"/>
        <v>1923854</v>
      </c>
      <c r="N11" s="12">
        <f t="shared" si="13"/>
        <v>1852731</v>
      </c>
      <c r="O11" s="12">
        <f t="shared" si="13"/>
        <v>1816161</v>
      </c>
      <c r="P11" s="12">
        <f t="shared" si="13"/>
        <v>1535340</v>
      </c>
      <c r="Q11" s="12">
        <f>SUM(Q12:Q13,Q15,Q16:Q18)</f>
        <v>1323301</v>
      </c>
    </row>
    <row r="12" spans="1:17" s="324" customFormat="1" ht="15" customHeight="1">
      <c r="A12" s="352" t="s">
        <v>646</v>
      </c>
      <c r="B12" s="352" t="s">
        <v>645</v>
      </c>
      <c r="C12" s="9">
        <v>0</v>
      </c>
      <c r="D12" s="9">
        <v>0</v>
      </c>
      <c r="E12" s="9">
        <v>0</v>
      </c>
      <c r="F12" s="9">
        <v>0</v>
      </c>
      <c r="G12" s="9">
        <v>495715</v>
      </c>
      <c r="H12" s="9">
        <v>511085</v>
      </c>
      <c r="I12" s="9">
        <v>534228</v>
      </c>
      <c r="J12" s="9">
        <v>575313</v>
      </c>
      <c r="K12" s="9">
        <v>607477</v>
      </c>
      <c r="L12" s="9">
        <v>617598</v>
      </c>
      <c r="M12" s="9">
        <v>627128</v>
      </c>
      <c r="N12" s="9">
        <v>634055</v>
      </c>
      <c r="O12" s="9">
        <v>615521</v>
      </c>
      <c r="P12" s="9">
        <v>517023</v>
      </c>
      <c r="Q12" s="434">
        <v>454302</v>
      </c>
    </row>
    <row r="13" spans="1:17" s="324" customFormat="1">
      <c r="A13" s="352" t="s">
        <v>246</v>
      </c>
      <c r="B13" s="352"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c r="P13" s="9">
        <v>992642</v>
      </c>
      <c r="Q13" s="433">
        <v>863626</v>
      </c>
    </row>
    <row r="14" spans="1:17" s="382" customFormat="1">
      <c r="A14" s="386" t="s">
        <v>247</v>
      </c>
      <c r="B14" s="386" t="s">
        <v>259</v>
      </c>
      <c r="C14" s="9">
        <v>0</v>
      </c>
      <c r="D14" s="9">
        <v>0</v>
      </c>
      <c r="E14" s="9">
        <v>0</v>
      </c>
      <c r="F14" s="9">
        <v>0</v>
      </c>
      <c r="G14" s="9">
        <v>280304</v>
      </c>
      <c r="H14" s="9">
        <v>293213</v>
      </c>
      <c r="I14" s="9">
        <v>303386</v>
      </c>
      <c r="J14" s="9">
        <v>355178</v>
      </c>
      <c r="K14" s="9">
        <v>396264</v>
      </c>
      <c r="L14" s="9">
        <v>407861</v>
      </c>
      <c r="M14" s="9">
        <v>418730</v>
      </c>
      <c r="N14" s="9">
        <v>423653</v>
      </c>
      <c r="O14" s="9">
        <v>423909</v>
      </c>
      <c r="P14" s="9">
        <v>359484</v>
      </c>
      <c r="Q14" s="433">
        <v>286950</v>
      </c>
    </row>
    <row r="15" spans="1:17" s="324" customFormat="1">
      <c r="A15" s="352" t="s">
        <v>249</v>
      </c>
      <c r="B15" s="352" t="s">
        <v>261</v>
      </c>
      <c r="C15" s="9">
        <v>0</v>
      </c>
      <c r="D15" s="9">
        <v>0</v>
      </c>
      <c r="E15" s="9">
        <v>0</v>
      </c>
      <c r="F15" s="9">
        <v>0</v>
      </c>
      <c r="G15" s="9">
        <v>13653</v>
      </c>
      <c r="H15" s="9">
        <v>15780</v>
      </c>
      <c r="I15" s="9">
        <v>16818</v>
      </c>
      <c r="J15" s="9">
        <v>26701</v>
      </c>
      <c r="K15" s="9">
        <v>24615</v>
      </c>
      <c r="L15" s="9">
        <v>25573</v>
      </c>
      <c r="M15" s="9">
        <v>26866</v>
      </c>
      <c r="N15" s="9">
        <v>17314</v>
      </c>
      <c r="O15" s="9">
        <f>11609</f>
        <v>11609</v>
      </c>
      <c r="P15" s="9">
        <v>3725</v>
      </c>
      <c r="Q15" s="433">
        <v>454</v>
      </c>
    </row>
    <row r="16" spans="1:17" s="324" customFormat="1">
      <c r="A16" s="352" t="s">
        <v>62</v>
      </c>
      <c r="B16" s="352" t="s">
        <v>17</v>
      </c>
      <c r="C16" s="9">
        <v>0</v>
      </c>
      <c r="D16" s="9">
        <v>0</v>
      </c>
      <c r="E16" s="9">
        <v>0</v>
      </c>
      <c r="F16" s="9">
        <v>0</v>
      </c>
      <c r="G16" s="9">
        <v>7691</v>
      </c>
      <c r="H16" s="9">
        <v>8378</v>
      </c>
      <c r="I16" s="9">
        <v>7816</v>
      </c>
      <c r="J16" s="9">
        <v>11945</v>
      </c>
      <c r="K16" s="9">
        <v>12821</v>
      </c>
      <c r="L16" s="9">
        <v>12562</v>
      </c>
      <c r="M16" s="9">
        <v>11057</v>
      </c>
      <c r="N16" s="9">
        <v>11170</v>
      </c>
      <c r="O16" s="9">
        <v>9889</v>
      </c>
      <c r="P16" s="9">
        <v>2304</v>
      </c>
      <c r="Q16" s="433">
        <v>228</v>
      </c>
    </row>
    <row r="17" spans="1:17" s="324" customFormat="1">
      <c r="A17" s="352" t="s">
        <v>248</v>
      </c>
      <c r="B17" s="352" t="s">
        <v>177</v>
      </c>
      <c r="C17" s="9">
        <v>0</v>
      </c>
      <c r="D17" s="9">
        <v>0</v>
      </c>
      <c r="E17" s="9">
        <v>0</v>
      </c>
      <c r="F17" s="9">
        <v>0</v>
      </c>
      <c r="G17" s="9">
        <v>1974</v>
      </c>
      <c r="H17" s="9">
        <v>1941</v>
      </c>
      <c r="I17" s="9">
        <v>2796</v>
      </c>
      <c r="J17" s="9">
        <v>3083</v>
      </c>
      <c r="K17" s="9">
        <v>2762</v>
      </c>
      <c r="L17" s="9">
        <v>2496</v>
      </c>
      <c r="M17" s="9">
        <v>2448</v>
      </c>
      <c r="N17" s="9">
        <v>2447</v>
      </c>
      <c r="O17" s="9">
        <f>2802+1</f>
        <v>2803</v>
      </c>
      <c r="P17" s="9">
        <v>2330</v>
      </c>
      <c r="Q17" s="434">
        <v>1514</v>
      </c>
    </row>
    <row r="18" spans="1:17" s="324" customFormat="1">
      <c r="A18" s="352" t="s">
        <v>250</v>
      </c>
      <c r="B18" s="352" t="s">
        <v>262</v>
      </c>
      <c r="C18" s="9">
        <v>0</v>
      </c>
      <c r="D18" s="9">
        <v>0</v>
      </c>
      <c r="E18" s="9">
        <v>0</v>
      </c>
      <c r="F18" s="9">
        <v>0</v>
      </c>
      <c r="G18" s="9">
        <v>52121</v>
      </c>
      <c r="H18" s="9">
        <v>51606</v>
      </c>
      <c r="I18" s="9">
        <v>48316</v>
      </c>
      <c r="J18" s="9">
        <v>49075</v>
      </c>
      <c r="K18" s="9">
        <v>44267</v>
      </c>
      <c r="L18" s="9">
        <v>42737</v>
      </c>
      <c r="M18" s="9">
        <v>43325</v>
      </c>
      <c r="N18" s="9">
        <v>39680</v>
      </c>
      <c r="O18" s="9">
        <v>37333</v>
      </c>
      <c r="P18" s="9">
        <v>17316</v>
      </c>
      <c r="Q18" s="433">
        <v>3177</v>
      </c>
    </row>
    <row r="19" spans="1:17" s="383" customFormat="1" ht="42.75">
      <c r="A19" s="384" t="s">
        <v>251</v>
      </c>
      <c r="B19" s="384" t="s">
        <v>124</v>
      </c>
      <c r="C19" s="12">
        <f t="shared" ref="C19:J19" si="14">SUM(C20:C21)</f>
        <v>0</v>
      </c>
      <c r="D19" s="12">
        <f t="shared" si="14"/>
        <v>0</v>
      </c>
      <c r="E19" s="12">
        <f t="shared" si="14"/>
        <v>0</v>
      </c>
      <c r="F19" s="12">
        <f t="shared" si="14"/>
        <v>0</v>
      </c>
      <c r="G19" s="12">
        <f t="shared" si="14"/>
        <v>163239</v>
      </c>
      <c r="H19" s="12">
        <f t="shared" si="14"/>
        <v>174832</v>
      </c>
      <c r="I19" s="12">
        <f t="shared" si="14"/>
        <v>189226</v>
      </c>
      <c r="J19" s="12">
        <f t="shared" si="14"/>
        <v>206081</v>
      </c>
      <c r="K19" s="12">
        <f t="shared" ref="K19:P19" si="15">SUM(K20:K21)</f>
        <v>209674</v>
      </c>
      <c r="L19" s="12">
        <f t="shared" si="15"/>
        <v>199210</v>
      </c>
      <c r="M19" s="12">
        <f t="shared" si="15"/>
        <v>209193</v>
      </c>
      <c r="N19" s="12">
        <f t="shared" si="15"/>
        <v>215747</v>
      </c>
      <c r="O19" s="12">
        <f t="shared" si="15"/>
        <v>206593</v>
      </c>
      <c r="P19" s="12">
        <f t="shared" si="15"/>
        <v>209592</v>
      </c>
      <c r="Q19" s="435">
        <f>SUM(Q20:Q21)</f>
        <v>219908</v>
      </c>
    </row>
    <row r="20" spans="1:17" s="324" customFormat="1">
      <c r="A20" s="352" t="s">
        <v>245</v>
      </c>
      <c r="B20" s="352" t="s">
        <v>173</v>
      </c>
      <c r="C20" s="9">
        <v>0</v>
      </c>
      <c r="D20" s="9">
        <v>0</v>
      </c>
      <c r="E20" s="9">
        <v>0</v>
      </c>
      <c r="F20" s="9">
        <v>0</v>
      </c>
      <c r="G20" s="9">
        <v>0</v>
      </c>
      <c r="H20" s="9">
        <v>0</v>
      </c>
      <c r="I20" s="9">
        <v>0</v>
      </c>
      <c r="J20" s="9">
        <v>4179</v>
      </c>
      <c r="K20" s="9">
        <v>4538</v>
      </c>
      <c r="L20" s="9">
        <v>4707</v>
      </c>
      <c r="M20" s="9">
        <v>11223</v>
      </c>
      <c r="N20" s="9">
        <v>11553</v>
      </c>
      <c r="O20" s="9">
        <v>10598</v>
      </c>
      <c r="P20" s="9">
        <v>9826</v>
      </c>
      <c r="Q20" s="433">
        <v>7521</v>
      </c>
    </row>
    <row r="21" spans="1:17" s="324" customFormat="1">
      <c r="A21" s="387" t="s">
        <v>651</v>
      </c>
      <c r="B21" s="352" t="s">
        <v>652</v>
      </c>
      <c r="C21" s="9">
        <v>0</v>
      </c>
      <c r="D21" s="9">
        <v>0</v>
      </c>
      <c r="E21" s="9">
        <v>0</v>
      </c>
      <c r="F21" s="9">
        <v>0</v>
      </c>
      <c r="G21" s="9">
        <v>163239</v>
      </c>
      <c r="H21" s="9">
        <v>174832</v>
      </c>
      <c r="I21" s="9">
        <v>189226</v>
      </c>
      <c r="J21" s="9">
        <v>201902</v>
      </c>
      <c r="K21" s="9">
        <v>205136</v>
      </c>
      <c r="L21" s="9">
        <v>194503</v>
      </c>
      <c r="M21" s="9">
        <v>197970</v>
      </c>
      <c r="N21" s="9">
        <v>204194</v>
      </c>
      <c r="O21" s="9">
        <v>195995</v>
      </c>
      <c r="P21" s="9">
        <v>199766</v>
      </c>
      <c r="Q21" s="433">
        <v>212387</v>
      </c>
    </row>
    <row r="22" spans="1:17" s="22" customFormat="1" ht="42.75">
      <c r="A22" s="384" t="s">
        <v>121</v>
      </c>
      <c r="B22" s="384" t="s">
        <v>122</v>
      </c>
      <c r="C22" s="12">
        <f t="shared" ref="C22:J22" si="16">SUM(C23:C24,C26)</f>
        <v>0</v>
      </c>
      <c r="D22" s="12">
        <f t="shared" si="16"/>
        <v>0</v>
      </c>
      <c r="E22" s="12">
        <f t="shared" si="16"/>
        <v>0</v>
      </c>
      <c r="F22" s="12">
        <f t="shared" si="16"/>
        <v>0</v>
      </c>
      <c r="G22" s="12">
        <f t="shared" si="16"/>
        <v>37319</v>
      </c>
      <c r="H22" s="12">
        <f t="shared" si="16"/>
        <v>24117</v>
      </c>
      <c r="I22" s="12">
        <f t="shared" si="16"/>
        <v>31977</v>
      </c>
      <c r="J22" s="12">
        <f t="shared" si="16"/>
        <v>41873</v>
      </c>
      <c r="K22" s="12">
        <f t="shared" ref="K22:P22" si="17">SUM(K23:K24,K26)</f>
        <v>50743</v>
      </c>
      <c r="L22" s="12">
        <f t="shared" si="17"/>
        <v>47568</v>
      </c>
      <c r="M22" s="12">
        <f t="shared" si="17"/>
        <v>33109</v>
      </c>
      <c r="N22" s="12">
        <f t="shared" si="17"/>
        <v>29054</v>
      </c>
      <c r="O22" s="12">
        <f t="shared" si="17"/>
        <v>27336</v>
      </c>
      <c r="P22" s="12">
        <f t="shared" si="17"/>
        <v>13308</v>
      </c>
      <c r="Q22" s="436">
        <f>SUM(Q23:Q24,Q26)</f>
        <v>5633</v>
      </c>
    </row>
    <row r="23" spans="1:17">
      <c r="A23" s="352" t="s">
        <v>245</v>
      </c>
      <c r="B23" s="352" t="s">
        <v>173</v>
      </c>
      <c r="C23" s="9">
        <v>0</v>
      </c>
      <c r="D23" s="9">
        <v>0</v>
      </c>
      <c r="E23" s="9">
        <v>0</v>
      </c>
      <c r="F23" s="9">
        <v>0</v>
      </c>
      <c r="G23" s="9">
        <v>501</v>
      </c>
      <c r="H23" s="9">
        <v>510</v>
      </c>
      <c r="I23" s="9">
        <v>509</v>
      </c>
      <c r="J23" s="9">
        <v>517</v>
      </c>
      <c r="K23" s="9">
        <v>501</v>
      </c>
      <c r="L23" s="9">
        <v>510</v>
      </c>
      <c r="M23" s="9">
        <v>517</v>
      </c>
      <c r="N23" s="9">
        <v>342</v>
      </c>
      <c r="O23" s="9">
        <v>508</v>
      </c>
      <c r="P23" s="9">
        <v>396</v>
      </c>
      <c r="Q23" s="433">
        <v>223</v>
      </c>
    </row>
    <row r="24" spans="1:17">
      <c r="A24" s="352" t="s">
        <v>246</v>
      </c>
      <c r="B24" s="352" t="s">
        <v>175</v>
      </c>
      <c r="C24" s="9">
        <v>0</v>
      </c>
      <c r="D24" s="9">
        <v>0</v>
      </c>
      <c r="E24" s="9">
        <v>0</v>
      </c>
      <c r="F24" s="9">
        <v>0</v>
      </c>
      <c r="G24" s="9">
        <v>30956</v>
      </c>
      <c r="H24" s="9">
        <v>29256</v>
      </c>
      <c r="I24" s="9">
        <v>27811</v>
      </c>
      <c r="J24" s="9">
        <v>31531</v>
      </c>
      <c r="K24" s="9">
        <v>27342</v>
      </c>
      <c r="L24" s="9">
        <v>26279</v>
      </c>
      <c r="M24" s="9">
        <v>26623</v>
      </c>
      <c r="N24" s="9">
        <v>25497</v>
      </c>
      <c r="O24" s="9">
        <f>22878-1</f>
        <v>22877</v>
      </c>
      <c r="P24" s="9">
        <v>7954</v>
      </c>
      <c r="Q24" s="433">
        <v>4388</v>
      </c>
    </row>
    <row r="25" spans="1:17" s="15" customFormat="1">
      <c r="A25" s="386" t="s">
        <v>247</v>
      </c>
      <c r="B25" s="386" t="s">
        <v>259</v>
      </c>
      <c r="C25" s="14">
        <v>0</v>
      </c>
      <c r="D25" s="14">
        <v>0</v>
      </c>
      <c r="E25" s="14">
        <v>0</v>
      </c>
      <c r="F25" s="14">
        <v>0</v>
      </c>
      <c r="G25" s="14">
        <v>0</v>
      </c>
      <c r="H25" s="14">
        <v>0</v>
      </c>
      <c r="I25" s="14">
        <v>0</v>
      </c>
      <c r="J25" s="14">
        <v>0</v>
      </c>
      <c r="K25" s="14">
        <v>0</v>
      </c>
      <c r="L25" s="14">
        <v>0</v>
      </c>
      <c r="M25" s="14">
        <v>0</v>
      </c>
      <c r="N25" s="14">
        <v>0</v>
      </c>
      <c r="O25" s="14">
        <v>0</v>
      </c>
      <c r="P25" s="14">
        <v>0</v>
      </c>
      <c r="Q25" s="433">
        <v>0</v>
      </c>
    </row>
    <row r="26" spans="1:17">
      <c r="A26" s="387" t="s">
        <v>651</v>
      </c>
      <c r="B26" s="352" t="s">
        <v>518</v>
      </c>
      <c r="C26" s="9">
        <v>0</v>
      </c>
      <c r="D26" s="9">
        <v>0</v>
      </c>
      <c r="E26" s="9">
        <v>0</v>
      </c>
      <c r="F26" s="9">
        <v>0</v>
      </c>
      <c r="G26" s="9">
        <v>5862</v>
      </c>
      <c r="H26" s="9">
        <v>-5649</v>
      </c>
      <c r="I26" s="9">
        <v>3657</v>
      </c>
      <c r="J26" s="9">
        <v>9825</v>
      </c>
      <c r="K26" s="9">
        <v>22900</v>
      </c>
      <c r="L26" s="9">
        <v>20779</v>
      </c>
      <c r="M26" s="9">
        <v>5969</v>
      </c>
      <c r="N26" s="9">
        <v>3215</v>
      </c>
      <c r="O26" s="9">
        <v>3951</v>
      </c>
      <c r="P26" s="9">
        <v>4958</v>
      </c>
      <c r="Q26" s="433">
        <v>1022</v>
      </c>
    </row>
    <row r="27" spans="1:17" s="22" customFormat="1">
      <c r="A27" s="384" t="s">
        <v>252</v>
      </c>
      <c r="B27" s="384" t="s">
        <v>256</v>
      </c>
      <c r="C27" s="12">
        <f t="shared" ref="C27:J27" si="18">SUM(C28:C34)</f>
        <v>-305806</v>
      </c>
      <c r="D27" s="12">
        <f t="shared" si="18"/>
        <v>-318481</v>
      </c>
      <c r="E27" s="12">
        <f t="shared" si="18"/>
        <v>-322842</v>
      </c>
      <c r="F27" s="12">
        <f t="shared" si="18"/>
        <v>-305281</v>
      </c>
      <c r="G27" s="12">
        <f>SUM(G28:G34)-1</f>
        <v>-298675</v>
      </c>
      <c r="H27" s="12">
        <f t="shared" si="18"/>
        <v>-340536</v>
      </c>
      <c r="I27" s="12">
        <f t="shared" si="18"/>
        <v>-383490</v>
      </c>
      <c r="J27" s="12">
        <f t="shared" si="18"/>
        <v>-448690</v>
      </c>
      <c r="K27" s="12">
        <f t="shared" ref="K27:P27" si="19">SUM(K28:K34)</f>
        <v>-473099</v>
      </c>
      <c r="L27" s="12">
        <f t="shared" si="19"/>
        <v>-492917</v>
      </c>
      <c r="M27" s="12">
        <f t="shared" si="19"/>
        <v>-465122</v>
      </c>
      <c r="N27" s="12">
        <f t="shared" si="19"/>
        <v>-450529</v>
      </c>
      <c r="O27" s="12">
        <f t="shared" si="19"/>
        <v>-413777</v>
      </c>
      <c r="P27" s="12">
        <f t="shared" si="19"/>
        <v>-299805</v>
      </c>
      <c r="Q27" s="436">
        <f>SUM(Q28:Q34)</f>
        <v>-166160</v>
      </c>
    </row>
    <row r="28" spans="1:17">
      <c r="A28" s="352" t="s">
        <v>637</v>
      </c>
      <c r="B28" s="352" t="s">
        <v>641</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c r="P28" s="9">
        <v>-148891</v>
      </c>
      <c r="Q28" s="433">
        <v>-68976</v>
      </c>
    </row>
    <row r="29" spans="1:17">
      <c r="A29" s="352" t="s">
        <v>638</v>
      </c>
      <c r="B29" s="352" t="s">
        <v>642</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c r="P29" s="9">
        <v>-73075</v>
      </c>
      <c r="Q29" s="433">
        <v>-39467</v>
      </c>
    </row>
    <row r="30" spans="1:17" ht="28.5">
      <c r="A30" s="352" t="s">
        <v>253</v>
      </c>
      <c r="B30" s="352" t="s">
        <v>257</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c r="Q30" s="433">
        <v>329</v>
      </c>
    </row>
    <row r="31" spans="1:17">
      <c r="A31" s="352" t="s">
        <v>639</v>
      </c>
      <c r="B31" s="352" t="s">
        <v>643</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c r="Q31" s="433">
        <v>-2077</v>
      </c>
    </row>
    <row r="32" spans="1:17">
      <c r="A32" s="352" t="s">
        <v>640</v>
      </c>
      <c r="B32" s="352" t="s">
        <v>644</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c r="Q32" s="433">
        <v>-8907</v>
      </c>
    </row>
    <row r="33" spans="1:17">
      <c r="A33" s="352" t="s">
        <v>254</v>
      </c>
      <c r="B33" s="352" t="s">
        <v>159</v>
      </c>
      <c r="C33" s="9">
        <v>0</v>
      </c>
      <c r="D33" s="9">
        <v>0</v>
      </c>
      <c r="E33" s="9">
        <v>0</v>
      </c>
      <c r="F33" s="9">
        <v>0</v>
      </c>
      <c r="G33" s="9">
        <v>0</v>
      </c>
      <c r="H33" s="9">
        <v>0</v>
      </c>
      <c r="I33" s="9">
        <v>0</v>
      </c>
      <c r="J33" s="9"/>
      <c r="K33" s="9">
        <v>-4480</v>
      </c>
      <c r="L33" s="9">
        <v>-6272</v>
      </c>
      <c r="M33" s="9">
        <v>-5507</v>
      </c>
      <c r="N33" s="9">
        <v>-5339</v>
      </c>
      <c r="O33" s="9">
        <v>-5268</v>
      </c>
      <c r="P33" s="9">
        <v>-5023</v>
      </c>
      <c r="Q33" s="433">
        <v>-4568</v>
      </c>
    </row>
    <row r="34" spans="1:17" ht="28.5">
      <c r="A34" s="352" t="s">
        <v>255</v>
      </c>
      <c r="B34" s="352" t="s">
        <v>258</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c r="Q34" s="433">
        <v>-42494</v>
      </c>
    </row>
    <row r="35" spans="1:17" s="22" customFormat="1">
      <c r="A35" s="388" t="s">
        <v>89</v>
      </c>
      <c r="B35" s="388" t="s">
        <v>1</v>
      </c>
      <c r="C35" s="259">
        <f t="shared" ref="C35:P35" si="20">C2+C27</f>
        <v>1253996</v>
      </c>
      <c r="D35" s="259">
        <f t="shared" si="20"/>
        <v>1302487</v>
      </c>
      <c r="E35" s="259">
        <f t="shared" si="20"/>
        <v>1340966</v>
      </c>
      <c r="F35" s="259">
        <f t="shared" si="20"/>
        <v>1379448</v>
      </c>
      <c r="G35" s="259">
        <f t="shared" si="20"/>
        <v>1389826</v>
      </c>
      <c r="H35" s="259">
        <f t="shared" si="20"/>
        <v>1396207</v>
      </c>
      <c r="I35" s="259">
        <f t="shared" si="20"/>
        <v>1422219</v>
      </c>
      <c r="J35" s="259">
        <f t="shared" si="20"/>
        <v>1534153</v>
      </c>
      <c r="K35" s="259">
        <f t="shared" si="20"/>
        <v>1608600</v>
      </c>
      <c r="L35" s="259">
        <f t="shared" si="20"/>
        <v>1623532</v>
      </c>
      <c r="M35" s="259">
        <f t="shared" si="20"/>
        <v>1701034</v>
      </c>
      <c r="N35" s="259">
        <f t="shared" si="20"/>
        <v>1647003</v>
      </c>
      <c r="O35" s="259">
        <f t="shared" si="20"/>
        <v>1636313</v>
      </c>
      <c r="P35" s="259">
        <f t="shared" si="20"/>
        <v>1458435</v>
      </c>
      <c r="Q35" s="437">
        <f>Q2+Q27</f>
        <v>1382682</v>
      </c>
    </row>
    <row r="36" spans="1:17">
      <c r="Q36" s="438"/>
    </row>
    <row r="37" spans="1:17">
      <c r="Q37" s="438"/>
    </row>
    <row r="38" spans="1:17">
      <c r="Q38" s="438"/>
    </row>
    <row r="39" spans="1:17">
      <c r="Q39" s="438"/>
    </row>
    <row r="40" spans="1:17">
      <c r="Q40" s="438"/>
    </row>
  </sheetData>
  <customSheetViews>
    <customSheetView guid="{746490BF-9C44-4B41-8803-BEC9E453576A}">
      <pane xSplit="2" ySplit="1" topLeftCell="H2" activePane="bottomRight" state="frozen"/>
      <selection pane="bottomRight" activeCell="C2" sqref="C2"/>
      <pageMargins left="0.7" right="0.7" top="0.75" bottom="0.75" header="0.3" footer="0.3"/>
    </customSheetView>
    <customSheetView guid="{9AF4A83C-CF57-4B40-8A74-6A0EA6C2FE5C}">
      <pane xSplit="2" ySplit="1" topLeftCell="J2" activePane="bottomRight" state="frozen"/>
      <selection pane="bottomRight" activeCell="K12" sqref="K12"/>
      <pageMargins left="0.7" right="0.7" top="0.75" bottom="0.75" header="0.3" footer="0.3"/>
    </customSheetView>
    <customSheetView guid="{899D69CD-4B7E-42BC-9944-5BD922EB798C}" topLeftCell="I1">
      <selection activeCell="C58" sqref="C58"/>
      <pageMargins left="0.7" right="0.7" top="0.75" bottom="0.75" header="0.3" footer="0.3"/>
    </customSheetView>
    <customSheetView guid="{25FAB884-5E17-4008-8139-33D910C7DEFE}">
      <selection activeCell="A40" sqref="A40:XFD40"/>
      <pageMargins left="0.7" right="0.7" top="0.75" bottom="0.75" header="0.3" footer="0.3"/>
    </customSheetView>
    <customSheetView guid="{8DA78CF1-615A-4626-9893-6751995631A4}" scale="66">
      <pane xSplit="2" ySplit="1" topLeftCell="O14" activePane="bottomRight" state="frozen"/>
      <selection pane="bottomRight" activeCell="P36" sqref="P36"/>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687A4863-1825-4D63-B732-E76682E6DE4F}" scale="66">
      <selection activeCell="A36" sqref="A36:XFD44"/>
      <pageMargins left="0.7" right="0.7" top="0.75" bottom="0.75" header="0.3" footer="0.3"/>
    </customSheetView>
    <customSheetView guid="{12F8D032-8143-430B-8DFF-852E8796C402}">
      <selection activeCell="C16" sqref="C1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1"/>
  <sheetViews>
    <sheetView showGridLines="0" showRuler="0" topLeftCell="B1" zoomScale="78" zoomScaleNormal="58" workbookViewId="0">
      <selection activeCell="Q1" sqref="Q1:R1048576"/>
    </sheetView>
  </sheetViews>
  <sheetFormatPr defaultColWidth="9.140625" defaultRowHeight="12" customHeight="1"/>
  <cols>
    <col min="1" max="1" width="50.85546875" style="6" customWidth="1"/>
    <col min="2" max="2" width="66.140625" style="6" customWidth="1"/>
    <col min="3" max="10" width="13.42578125" style="6" customWidth="1"/>
    <col min="11" max="11" width="13.42578125" style="324" customWidth="1"/>
    <col min="12" max="12" width="13.42578125" style="6" customWidth="1"/>
    <col min="13" max="13" width="10.5703125" style="6" customWidth="1"/>
    <col min="14" max="14" width="16.85546875" style="6" customWidth="1"/>
    <col min="15" max="17" width="13.42578125" style="6" customWidth="1"/>
    <col min="18" max="16384" width="9.140625" style="6"/>
  </cols>
  <sheetData>
    <row r="1" spans="1:17" ht="15" customHeight="1" thickBot="1">
      <c r="C1" s="389"/>
      <c r="D1" s="389"/>
      <c r="E1" s="389"/>
      <c r="F1" s="389"/>
      <c r="G1" s="389"/>
      <c r="H1" s="389"/>
      <c r="I1" s="389"/>
      <c r="J1" s="389"/>
      <c r="K1" s="389"/>
      <c r="L1" s="389"/>
      <c r="M1" s="389"/>
      <c r="N1" s="389"/>
      <c r="O1" s="389"/>
      <c r="P1" s="389"/>
      <c r="Q1" s="389"/>
    </row>
    <row r="2" spans="1:17" ht="15" customHeight="1" thickBot="1">
      <c r="A2" s="376" t="s">
        <v>90</v>
      </c>
      <c r="B2" s="376" t="s">
        <v>2</v>
      </c>
      <c r="C2" s="389" t="s">
        <v>189</v>
      </c>
      <c r="D2" s="389" t="s">
        <v>190</v>
      </c>
      <c r="E2" s="389" t="s">
        <v>191</v>
      </c>
      <c r="F2" s="389" t="s">
        <v>192</v>
      </c>
      <c r="G2" s="389" t="s">
        <v>193</v>
      </c>
      <c r="H2" s="389" t="s">
        <v>194</v>
      </c>
      <c r="I2" s="389" t="s">
        <v>195</v>
      </c>
      <c r="J2" s="389" t="s">
        <v>196</v>
      </c>
      <c r="K2" s="389" t="s">
        <v>197</v>
      </c>
      <c r="L2" s="389" t="s">
        <v>198</v>
      </c>
      <c r="M2" s="389" t="s">
        <v>623</v>
      </c>
      <c r="N2" s="389" t="s">
        <v>632</v>
      </c>
      <c r="O2" s="389" t="s">
        <v>670</v>
      </c>
      <c r="P2" s="389" t="s">
        <v>674</v>
      </c>
      <c r="Q2" s="389" t="s">
        <v>685</v>
      </c>
    </row>
    <row r="3" spans="1:17" ht="15" customHeight="1">
      <c r="A3" s="390" t="s">
        <v>199</v>
      </c>
      <c r="B3" s="390" t="s">
        <v>200</v>
      </c>
      <c r="C3" s="391">
        <v>83361</v>
      </c>
      <c r="D3" s="391">
        <v>85518</v>
      </c>
      <c r="E3" s="391">
        <v>83848</v>
      </c>
      <c r="F3" s="391">
        <v>85579</v>
      </c>
      <c r="G3" s="391">
        <v>81499</v>
      </c>
      <c r="H3" s="391">
        <v>80399</v>
      </c>
      <c r="I3" s="391">
        <v>78480</v>
      </c>
      <c r="J3" s="391">
        <v>82879</v>
      </c>
      <c r="K3" s="391">
        <v>81089</v>
      </c>
      <c r="L3" s="391">
        <v>81656</v>
      </c>
      <c r="M3" s="391">
        <v>82570</v>
      </c>
      <c r="N3" s="391">
        <v>81656</v>
      </c>
      <c r="O3" s="391">
        <v>79707</v>
      </c>
      <c r="P3" s="391">
        <v>73557</v>
      </c>
      <c r="Q3" s="391">
        <v>78479</v>
      </c>
    </row>
    <row r="4" spans="1:17" ht="15" customHeight="1">
      <c r="A4" s="392" t="s">
        <v>603</v>
      </c>
      <c r="B4" s="392" t="s">
        <v>604</v>
      </c>
      <c r="C4" s="391">
        <f>72258+5982</f>
        <v>78240</v>
      </c>
      <c r="D4" s="391">
        <f>77780+4018</f>
        <v>81798</v>
      </c>
      <c r="E4" s="391">
        <f>82910+4224</f>
        <v>87134</v>
      </c>
      <c r="F4" s="391">
        <f>83177+6015</f>
        <v>89192</v>
      </c>
      <c r="G4" s="391">
        <f>80684+3733</f>
        <v>84417</v>
      </c>
      <c r="H4" s="391">
        <f>91124+3777</f>
        <v>94901</v>
      </c>
      <c r="I4" s="391">
        <f>90513+4213</f>
        <v>94726</v>
      </c>
      <c r="J4" s="391">
        <f>104858+5981</f>
        <v>110839</v>
      </c>
      <c r="K4" s="391">
        <f>96816+3890</f>
        <v>100706</v>
      </c>
      <c r="L4" s="391">
        <v>99012</v>
      </c>
      <c r="M4" s="391">
        <v>102697</v>
      </c>
      <c r="N4" s="391">
        <v>122720</v>
      </c>
      <c r="O4" s="391">
        <v>93088</v>
      </c>
      <c r="P4" s="391">
        <v>97888</v>
      </c>
      <c r="Q4" s="391">
        <v>109844</v>
      </c>
    </row>
    <row r="5" spans="1:17" ht="15" customHeight="1">
      <c r="A5" s="390" t="s">
        <v>201</v>
      </c>
      <c r="B5" s="390" t="s">
        <v>202</v>
      </c>
      <c r="C5" s="391">
        <v>12788</v>
      </c>
      <c r="D5" s="391">
        <v>11831</v>
      </c>
      <c r="E5" s="391">
        <v>16345</v>
      </c>
      <c r="F5" s="391">
        <v>19339</v>
      </c>
      <c r="G5" s="391">
        <v>14821</v>
      </c>
      <c r="H5" s="391">
        <v>14935</v>
      </c>
      <c r="I5" s="391">
        <v>14740</v>
      </c>
      <c r="J5" s="391">
        <v>26026</v>
      </c>
      <c r="K5" s="391">
        <v>17391</v>
      </c>
      <c r="L5" s="391">
        <v>16853</v>
      </c>
      <c r="M5" s="391">
        <v>17837</v>
      </c>
      <c r="N5" s="391">
        <v>20337</v>
      </c>
      <c r="O5" s="391">
        <v>23810</v>
      </c>
      <c r="P5" s="391">
        <v>18452</v>
      </c>
      <c r="Q5" s="391">
        <v>23531</v>
      </c>
    </row>
    <row r="6" spans="1:17" ht="15" customHeight="1">
      <c r="A6" s="390" t="s">
        <v>203</v>
      </c>
      <c r="B6" s="390" t="s">
        <v>204</v>
      </c>
      <c r="C6" s="391">
        <v>78131</v>
      </c>
      <c r="D6" s="391">
        <v>84907</v>
      </c>
      <c r="E6" s="391">
        <v>91823</v>
      </c>
      <c r="F6" s="391">
        <v>91195</v>
      </c>
      <c r="G6" s="391">
        <v>89091</v>
      </c>
      <c r="H6" s="391">
        <v>100549</v>
      </c>
      <c r="I6" s="391">
        <v>96500</v>
      </c>
      <c r="J6" s="391">
        <v>109843</v>
      </c>
      <c r="K6" s="391">
        <v>106851</v>
      </c>
      <c r="L6" s="391">
        <v>113794</v>
      </c>
      <c r="M6" s="391">
        <v>111614</v>
      </c>
      <c r="N6" s="391">
        <v>110458</v>
      </c>
      <c r="O6" s="391">
        <v>121539</v>
      </c>
      <c r="P6" s="391">
        <v>104174</v>
      </c>
      <c r="Q6" s="391">
        <v>116339</v>
      </c>
    </row>
    <row r="7" spans="1:17" ht="15" customHeight="1">
      <c r="A7" s="390" t="s">
        <v>205</v>
      </c>
      <c r="B7" s="390" t="s">
        <v>206</v>
      </c>
      <c r="C7" s="391">
        <v>127034</v>
      </c>
      <c r="D7" s="391">
        <v>132475</v>
      </c>
      <c r="E7" s="391">
        <v>162421</v>
      </c>
      <c r="F7" s="391">
        <v>155065</v>
      </c>
      <c r="G7" s="391">
        <v>133257</v>
      </c>
      <c r="H7" s="391">
        <v>155297</v>
      </c>
      <c r="I7" s="391">
        <v>136358</v>
      </c>
      <c r="J7" s="391">
        <v>149784</v>
      </c>
      <c r="K7" s="391">
        <v>135129</v>
      </c>
      <c r="L7" s="391">
        <v>155393</v>
      </c>
      <c r="M7" s="391">
        <v>143895</v>
      </c>
      <c r="N7" s="391">
        <v>141362</v>
      </c>
      <c r="O7" s="391">
        <v>132181</v>
      </c>
      <c r="P7" s="391">
        <v>125784</v>
      </c>
      <c r="Q7" s="391">
        <v>148471</v>
      </c>
    </row>
    <row r="8" spans="1:17" ht="15" customHeight="1">
      <c r="A8" s="390" t="s">
        <v>207</v>
      </c>
      <c r="B8" s="390" t="s">
        <v>208</v>
      </c>
      <c r="C8" s="391">
        <v>68751</v>
      </c>
      <c r="D8" s="391">
        <v>71455</v>
      </c>
      <c r="E8" s="391">
        <v>101339</v>
      </c>
      <c r="F8" s="391">
        <v>88892</v>
      </c>
      <c r="G8" s="391">
        <v>73537</v>
      </c>
      <c r="H8" s="391">
        <v>95008</v>
      </c>
      <c r="I8" s="391">
        <v>74282</v>
      </c>
      <c r="J8" s="391">
        <v>86594</v>
      </c>
      <c r="K8" s="391">
        <v>76340</v>
      </c>
      <c r="L8" s="391">
        <v>95744</v>
      </c>
      <c r="M8" s="391">
        <v>83041</v>
      </c>
      <c r="N8" s="391">
        <v>81846</v>
      </c>
      <c r="O8" s="391">
        <v>78588</v>
      </c>
      <c r="P8" s="391">
        <v>76146</v>
      </c>
      <c r="Q8" s="391">
        <v>91268</v>
      </c>
    </row>
    <row r="9" spans="1:17" ht="15" customHeight="1">
      <c r="A9" s="390" t="s">
        <v>209</v>
      </c>
      <c r="B9" s="390" t="s">
        <v>210</v>
      </c>
      <c r="C9" s="391">
        <v>40029</v>
      </c>
      <c r="D9" s="391">
        <v>42160</v>
      </c>
      <c r="E9" s="391">
        <v>42806</v>
      </c>
      <c r="F9" s="391">
        <v>44553</v>
      </c>
      <c r="G9" s="391">
        <v>43118</v>
      </c>
      <c r="H9" s="391">
        <v>42142</v>
      </c>
      <c r="I9" s="391">
        <v>42153</v>
      </c>
      <c r="J9" s="391">
        <v>46848</v>
      </c>
      <c r="K9" s="391">
        <v>44401</v>
      </c>
      <c r="L9" s="391">
        <v>45249</v>
      </c>
      <c r="M9" s="391">
        <v>46451</v>
      </c>
      <c r="N9" s="391">
        <v>49578</v>
      </c>
      <c r="O9" s="391">
        <v>34740</v>
      </c>
      <c r="P9" s="391">
        <v>39290</v>
      </c>
      <c r="Q9" s="391">
        <v>36757</v>
      </c>
    </row>
    <row r="10" spans="1:17" ht="15" customHeight="1">
      <c r="A10" s="390" t="s">
        <v>56</v>
      </c>
      <c r="B10" s="390" t="s">
        <v>44</v>
      </c>
      <c r="C10" s="391">
        <v>3856</v>
      </c>
      <c r="D10" s="391">
        <v>3042</v>
      </c>
      <c r="E10" s="391">
        <v>1626</v>
      </c>
      <c r="F10" s="391">
        <v>1206</v>
      </c>
      <c r="G10" s="391">
        <v>863</v>
      </c>
      <c r="H10" s="391">
        <v>683</v>
      </c>
      <c r="I10" s="391">
        <v>272</v>
      </c>
      <c r="J10" s="391">
        <v>2973</v>
      </c>
      <c r="K10" s="391">
        <v>1713</v>
      </c>
      <c r="L10" s="391">
        <v>1439</v>
      </c>
      <c r="M10" s="391">
        <v>1390</v>
      </c>
      <c r="N10" s="391">
        <v>16407</v>
      </c>
      <c r="O10" s="391">
        <v>4245</v>
      </c>
      <c r="P10" s="391">
        <v>3098</v>
      </c>
      <c r="Q10" s="391">
        <v>4395</v>
      </c>
    </row>
    <row r="11" spans="1:17" ht="15" customHeight="1">
      <c r="A11" s="390" t="s">
        <v>211</v>
      </c>
      <c r="B11" s="390" t="s">
        <v>212</v>
      </c>
      <c r="C11" s="391">
        <v>69065</v>
      </c>
      <c r="D11" s="391">
        <v>74900</v>
      </c>
      <c r="E11" s="391">
        <v>79928</v>
      </c>
      <c r="F11" s="391">
        <v>82582</v>
      </c>
      <c r="G11" s="391">
        <v>81201</v>
      </c>
      <c r="H11" s="391">
        <v>79986</v>
      </c>
      <c r="I11" s="391">
        <v>77014</v>
      </c>
      <c r="J11" s="391">
        <v>72176</v>
      </c>
      <c r="K11" s="391">
        <v>67785</v>
      </c>
      <c r="L11" s="391">
        <v>69875</v>
      </c>
      <c r="M11" s="391">
        <v>72832</v>
      </c>
      <c r="N11" s="391">
        <v>74557</v>
      </c>
      <c r="O11" s="391">
        <v>70263</v>
      </c>
      <c r="P11" s="391">
        <v>52775</v>
      </c>
      <c r="Q11" s="391">
        <v>60320</v>
      </c>
    </row>
    <row r="12" spans="1:17" ht="15" customHeight="1">
      <c r="A12" s="390" t="s">
        <v>57</v>
      </c>
      <c r="B12" s="390" t="s">
        <v>213</v>
      </c>
      <c r="C12" s="391">
        <v>51481</v>
      </c>
      <c r="D12" s="391">
        <v>56656</v>
      </c>
      <c r="E12" s="391">
        <v>54544</v>
      </c>
      <c r="F12" s="391">
        <v>50891</v>
      </c>
      <c r="G12" s="391">
        <v>50144</v>
      </c>
      <c r="H12" s="391">
        <v>54189</v>
      </c>
      <c r="I12" s="391">
        <v>47318</v>
      </c>
      <c r="J12" s="391">
        <v>39261</v>
      </c>
      <c r="K12" s="391">
        <v>48711</v>
      </c>
      <c r="L12" s="391">
        <v>57827</v>
      </c>
      <c r="M12" s="391">
        <v>57861</v>
      </c>
      <c r="N12" s="391">
        <v>58128</v>
      </c>
      <c r="O12" s="391">
        <v>60310</v>
      </c>
      <c r="P12" s="391">
        <v>48450</v>
      </c>
      <c r="Q12" s="391">
        <v>57028</v>
      </c>
    </row>
    <row r="13" spans="1:17" ht="15" customHeight="1">
      <c r="A13" s="390" t="s">
        <v>114</v>
      </c>
      <c r="B13" s="390" t="s">
        <v>113</v>
      </c>
      <c r="C13" s="391">
        <v>22069</v>
      </c>
      <c r="D13" s="391">
        <v>22670</v>
      </c>
      <c r="E13" s="391">
        <v>26344</v>
      </c>
      <c r="F13" s="391">
        <v>17046</v>
      </c>
      <c r="G13" s="391">
        <v>18132</v>
      </c>
      <c r="H13" s="391">
        <v>19072</v>
      </c>
      <c r="I13" s="391">
        <v>14722</v>
      </c>
      <c r="J13" s="391">
        <v>16524</v>
      </c>
      <c r="K13" s="391">
        <v>18716</v>
      </c>
      <c r="L13" s="391">
        <v>13005</v>
      </c>
      <c r="M13" s="391">
        <v>16001</v>
      </c>
      <c r="N13" s="391">
        <v>11908</v>
      </c>
      <c r="O13" s="391">
        <v>28275</v>
      </c>
      <c r="P13" s="391">
        <v>34127</v>
      </c>
      <c r="Q13" s="391">
        <v>27202</v>
      </c>
    </row>
    <row r="14" spans="1:17" ht="15" customHeight="1">
      <c r="A14" s="390" t="s">
        <v>214</v>
      </c>
      <c r="B14" s="390" t="s">
        <v>215</v>
      </c>
      <c r="C14" s="391">
        <v>3974</v>
      </c>
      <c r="D14" s="391">
        <v>4117</v>
      </c>
      <c r="E14" s="391">
        <v>3720</v>
      </c>
      <c r="F14" s="391">
        <v>4417</v>
      </c>
      <c r="G14" s="391">
        <v>4372</v>
      </c>
      <c r="H14" s="391">
        <v>4647</v>
      </c>
      <c r="I14" s="391">
        <v>5021</v>
      </c>
      <c r="J14" s="391">
        <v>5877</v>
      </c>
      <c r="K14" s="391">
        <v>6277</v>
      </c>
      <c r="L14" s="391">
        <v>5998</v>
      </c>
      <c r="M14" s="391">
        <v>6576</v>
      </c>
      <c r="N14" s="391">
        <v>5780</v>
      </c>
      <c r="O14" s="391">
        <v>6455</v>
      </c>
      <c r="P14" s="391">
        <v>5082</v>
      </c>
      <c r="Q14" s="391">
        <v>5750</v>
      </c>
    </row>
    <row r="15" spans="1:17" ht="15" customHeight="1">
      <c r="A15" s="390" t="s">
        <v>216</v>
      </c>
      <c r="B15" s="390" t="s">
        <v>217</v>
      </c>
      <c r="C15" s="391">
        <v>997</v>
      </c>
      <c r="D15" s="391">
        <v>7807</v>
      </c>
      <c r="E15" s="391">
        <v>3951</v>
      </c>
      <c r="F15" s="391">
        <v>1747</v>
      </c>
      <c r="G15" s="391">
        <v>3058</v>
      </c>
      <c r="H15" s="391">
        <v>2827</v>
      </c>
      <c r="I15" s="391">
        <v>1438</v>
      </c>
      <c r="J15" s="391">
        <v>1200</v>
      </c>
      <c r="K15" s="391">
        <v>1034</v>
      </c>
      <c r="L15" s="391">
        <v>964</v>
      </c>
      <c r="M15" s="391">
        <v>2505</v>
      </c>
      <c r="N15" s="391">
        <v>2061</v>
      </c>
      <c r="O15" s="391">
        <v>7222</v>
      </c>
      <c r="P15" s="391">
        <v>958</v>
      </c>
      <c r="Q15" s="391">
        <v>638</v>
      </c>
    </row>
    <row r="16" spans="1:17" s="324" customFormat="1" ht="15" customHeight="1">
      <c r="A16" s="393"/>
      <c r="B16" s="393" t="s">
        <v>43</v>
      </c>
      <c r="C16" s="394">
        <f t="shared" ref="C16:M16" si="0">SUM(C3:C7,C9:C15)</f>
        <v>571025</v>
      </c>
      <c r="D16" s="394">
        <f t="shared" si="0"/>
        <v>607881</v>
      </c>
      <c r="E16" s="394">
        <f t="shared" si="0"/>
        <v>654490</v>
      </c>
      <c r="F16" s="394">
        <f t="shared" si="0"/>
        <v>642812</v>
      </c>
      <c r="G16" s="394">
        <f t="shared" si="0"/>
        <v>603973</v>
      </c>
      <c r="H16" s="394">
        <f t="shared" si="0"/>
        <v>649627</v>
      </c>
      <c r="I16" s="394">
        <f t="shared" si="0"/>
        <v>608742</v>
      </c>
      <c r="J16" s="394">
        <f t="shared" si="0"/>
        <v>664230</v>
      </c>
      <c r="K16" s="394">
        <f t="shared" si="0"/>
        <v>629803</v>
      </c>
      <c r="L16" s="394">
        <f t="shared" si="0"/>
        <v>661065</v>
      </c>
      <c r="M16" s="394">
        <f t="shared" si="0"/>
        <v>662229</v>
      </c>
      <c r="N16" s="394">
        <f>SUM(N3:N7,N9:N15)</f>
        <v>694952</v>
      </c>
      <c r="O16" s="394">
        <f>SUM(O3:O7,O9:O15)</f>
        <v>661835</v>
      </c>
      <c r="P16" s="394">
        <f>SUM(P3:P7,P9:P15)</f>
        <v>603635</v>
      </c>
      <c r="Q16" s="394">
        <f>SUM(Q3:Q7,Q9:Q15)</f>
        <v>668754</v>
      </c>
    </row>
    <row r="17" spans="1:17" ht="18.75" customHeight="1" thickBot="1">
      <c r="A17" s="395" t="s">
        <v>91</v>
      </c>
      <c r="B17" s="395" t="s">
        <v>220</v>
      </c>
      <c r="C17" s="389"/>
      <c r="D17" s="389"/>
      <c r="E17" s="389"/>
      <c r="F17" s="389"/>
      <c r="G17" s="389"/>
      <c r="H17" s="389"/>
      <c r="I17" s="389"/>
      <c r="J17" s="389"/>
      <c r="K17" s="389"/>
      <c r="L17" s="389"/>
      <c r="M17" s="396"/>
      <c r="N17" s="396"/>
      <c r="O17" s="396"/>
      <c r="P17" s="396"/>
      <c r="Q17" s="396"/>
    </row>
    <row r="18" spans="1:17" ht="15" customHeight="1">
      <c r="A18" s="390" t="s">
        <v>221</v>
      </c>
      <c r="B18" s="390" t="s">
        <v>200</v>
      </c>
      <c r="C18" s="391">
        <v>-195</v>
      </c>
      <c r="D18" s="391">
        <v>-165</v>
      </c>
      <c r="E18" s="391">
        <v>-150</v>
      </c>
      <c r="F18" s="391">
        <v>-175</v>
      </c>
      <c r="G18" s="391">
        <v>-185</v>
      </c>
      <c r="H18" s="391">
        <v>-370</v>
      </c>
      <c r="I18" s="391">
        <v>-2809</v>
      </c>
      <c r="J18" s="391">
        <v>-2450</v>
      </c>
      <c r="K18" s="391">
        <v>-241</v>
      </c>
      <c r="L18" s="391">
        <v>-281</v>
      </c>
      <c r="M18" s="391">
        <v>-861</v>
      </c>
      <c r="N18" s="391">
        <v>-984</v>
      </c>
      <c r="O18" s="391">
        <v>-709</v>
      </c>
      <c r="P18" s="391">
        <v>-530</v>
      </c>
      <c r="Q18" s="391">
        <v>-1042</v>
      </c>
    </row>
    <row r="19" spans="1:17" ht="15" customHeight="1">
      <c r="A19" s="390" t="s">
        <v>222</v>
      </c>
      <c r="B19" s="390" t="s">
        <v>223</v>
      </c>
      <c r="C19" s="391">
        <v>-19307</v>
      </c>
      <c r="D19" s="391">
        <v>-31097</v>
      </c>
      <c r="E19" s="391">
        <v>-20120</v>
      </c>
      <c r="F19" s="391">
        <v>-27811</v>
      </c>
      <c r="G19" s="391">
        <v>-11773</v>
      </c>
      <c r="H19" s="391">
        <v>-20883</v>
      </c>
      <c r="I19" s="391">
        <v>-12654</v>
      </c>
      <c r="J19" s="391">
        <v>-68176</v>
      </c>
      <c r="K19" s="391">
        <v>-22419</v>
      </c>
      <c r="L19" s="391">
        <v>-34245</v>
      </c>
      <c r="M19" s="391">
        <v>-26283</v>
      </c>
      <c r="N19" s="391">
        <v>-33782</v>
      </c>
      <c r="O19" s="391">
        <v>-28684</v>
      </c>
      <c r="P19" s="391">
        <v>-16229</v>
      </c>
      <c r="Q19" s="391">
        <v>-8599</v>
      </c>
    </row>
    <row r="20" spans="1:17" ht="15" customHeight="1">
      <c r="A20" s="390" t="s">
        <v>201</v>
      </c>
      <c r="B20" s="390" t="s">
        <v>202</v>
      </c>
      <c r="C20" s="391">
        <v>-564</v>
      </c>
      <c r="D20" s="391">
        <v>-639</v>
      </c>
      <c r="E20" s="391">
        <v>-590</v>
      </c>
      <c r="F20" s="391">
        <f>-3198-C20-D20-E20</f>
        <v>-1405</v>
      </c>
      <c r="G20" s="391">
        <v>-608</v>
      </c>
      <c r="H20" s="391">
        <f>-2399-G20</f>
        <v>-1791</v>
      </c>
      <c r="I20" s="391">
        <f>-4476-G20-H20</f>
        <v>-2077</v>
      </c>
      <c r="J20" s="391">
        <f>-8918-G20-H20-I20</f>
        <v>-4442</v>
      </c>
      <c r="K20" s="391">
        <v>-2899</v>
      </c>
      <c r="L20" s="391">
        <v>-3858</v>
      </c>
      <c r="M20" s="391">
        <v>-1791</v>
      </c>
      <c r="N20" s="391">
        <v>-18136</v>
      </c>
      <c r="O20" s="391">
        <v>-13198</v>
      </c>
      <c r="P20" s="391">
        <v>-12733</v>
      </c>
      <c r="Q20" s="391">
        <v>-15759</v>
      </c>
    </row>
    <row r="21" spans="1:17" ht="15" customHeight="1">
      <c r="A21" s="390" t="s">
        <v>205</v>
      </c>
      <c r="B21" s="390" t="s">
        <v>206</v>
      </c>
      <c r="C21" s="391">
        <v>-38585</v>
      </c>
      <c r="D21" s="391">
        <v>-40082</v>
      </c>
      <c r="E21" s="391">
        <v>-69396</v>
      </c>
      <c r="F21" s="391">
        <v>-56238</v>
      </c>
      <c r="G21" s="391">
        <v>-38851</v>
      </c>
      <c r="H21" s="391">
        <v>-59617</v>
      </c>
      <c r="I21" s="391">
        <v>-39434</v>
      </c>
      <c r="J21" s="391">
        <v>-50360</v>
      </c>
      <c r="K21" s="391">
        <v>-40656</v>
      </c>
      <c r="L21" s="391">
        <v>-57297</v>
      </c>
      <c r="M21" s="391">
        <v>-43102</v>
      </c>
      <c r="N21" s="391">
        <v>-46809</v>
      </c>
      <c r="O21" s="391">
        <v>-43280</v>
      </c>
      <c r="P21" s="391">
        <v>-40369</v>
      </c>
      <c r="Q21" s="391">
        <v>-48599</v>
      </c>
    </row>
    <row r="22" spans="1:17" ht="15" customHeight="1">
      <c r="A22" s="390" t="s">
        <v>207</v>
      </c>
      <c r="B22" s="390" t="s">
        <v>208</v>
      </c>
      <c r="C22" s="391">
        <v>-26239</v>
      </c>
      <c r="D22" s="391">
        <v>-27778</v>
      </c>
      <c r="E22" s="391">
        <v>-56218</v>
      </c>
      <c r="F22" s="391">
        <v>-42235</v>
      </c>
      <c r="G22" s="391">
        <v>-27583</v>
      </c>
      <c r="H22" s="391">
        <v>-47120</v>
      </c>
      <c r="I22" s="391">
        <v>-27091</v>
      </c>
      <c r="J22" s="391">
        <v>-38452</v>
      </c>
      <c r="K22" s="391">
        <v>-30812</v>
      </c>
      <c r="L22" s="391">
        <v>-46330</v>
      </c>
      <c r="M22" s="391">
        <v>-32529</v>
      </c>
      <c r="N22" s="391">
        <v>-33022</v>
      </c>
      <c r="O22" s="391">
        <v>-30654</v>
      </c>
      <c r="P22" s="391">
        <v>-27009</v>
      </c>
      <c r="Q22" s="391">
        <v>-34942</v>
      </c>
    </row>
    <row r="23" spans="1:17" ht="15" customHeight="1">
      <c r="A23" s="390" t="s">
        <v>209</v>
      </c>
      <c r="B23" s="390" t="s">
        <v>210</v>
      </c>
      <c r="C23" s="391">
        <v>-8923</v>
      </c>
      <c r="D23" s="391">
        <v>-9623</v>
      </c>
      <c r="E23" s="391">
        <v>-5523</v>
      </c>
      <c r="F23" s="391">
        <v>-9193</v>
      </c>
      <c r="G23" s="391">
        <v>-8707</v>
      </c>
      <c r="H23" s="391">
        <v>-10189</v>
      </c>
      <c r="I23" s="391">
        <v>-9230</v>
      </c>
      <c r="J23" s="391">
        <v>-10451</v>
      </c>
      <c r="K23" s="391">
        <v>-9122</v>
      </c>
      <c r="L23" s="391">
        <v>-10125</v>
      </c>
      <c r="M23" s="391">
        <v>-10119</v>
      </c>
      <c r="N23" s="391">
        <v>-10530</v>
      </c>
      <c r="O23" s="391">
        <v>-1522</v>
      </c>
      <c r="P23" s="391">
        <v>-6983</v>
      </c>
      <c r="Q23" s="391">
        <v>-6302</v>
      </c>
    </row>
    <row r="24" spans="1:17" ht="15" customHeight="1">
      <c r="A24" s="390" t="s">
        <v>114</v>
      </c>
      <c r="B24" s="390" t="s">
        <v>113</v>
      </c>
      <c r="C24" s="391">
        <v>-3172</v>
      </c>
      <c r="D24" s="391">
        <v>-2739</v>
      </c>
      <c r="E24" s="391">
        <v>-2616</v>
      </c>
      <c r="F24" s="391">
        <v>-2648</v>
      </c>
      <c r="G24" s="391">
        <v>-2731</v>
      </c>
      <c r="H24" s="391">
        <v>-2388</v>
      </c>
      <c r="I24" s="391">
        <v>-2192</v>
      </c>
      <c r="J24" s="391">
        <v>-2283</v>
      </c>
      <c r="K24" s="391">
        <v>-2503</v>
      </c>
      <c r="L24" s="391">
        <v>-1783</v>
      </c>
      <c r="M24" s="391">
        <v>-2068</v>
      </c>
      <c r="N24" s="391">
        <v>-1944</v>
      </c>
      <c r="O24" s="391">
        <v>-3614</v>
      </c>
      <c r="P24" s="391">
        <v>-5900</v>
      </c>
      <c r="Q24" s="391">
        <v>-4043</v>
      </c>
    </row>
    <row r="25" spans="1:17" ht="12.95" customHeight="1">
      <c r="A25" s="390" t="s">
        <v>224</v>
      </c>
      <c r="B25" s="390" t="s">
        <v>212</v>
      </c>
      <c r="C25" s="391">
        <v>-1630</v>
      </c>
      <c r="D25" s="391">
        <v>-1620</v>
      </c>
      <c r="E25" s="391">
        <v>-1618</v>
      </c>
      <c r="F25" s="391">
        <v>-1740</v>
      </c>
      <c r="G25" s="391">
        <v>-1829</v>
      </c>
      <c r="H25" s="391">
        <v>-1799</v>
      </c>
      <c r="I25" s="391">
        <v>-1512</v>
      </c>
      <c r="J25" s="391">
        <v>-1828</v>
      </c>
      <c r="K25" s="391">
        <v>-2139</v>
      </c>
      <c r="L25" s="391">
        <v>-1480</v>
      </c>
      <c r="M25" s="391">
        <v>-2017</v>
      </c>
      <c r="N25" s="391">
        <v>-5761</v>
      </c>
      <c r="O25" s="391">
        <v>-6001</v>
      </c>
      <c r="P25" s="391">
        <v>-5084</v>
      </c>
      <c r="Q25" s="391">
        <v>-5055</v>
      </c>
    </row>
    <row r="26" spans="1:17" ht="15" customHeight="1">
      <c r="A26" s="390" t="s">
        <v>57</v>
      </c>
      <c r="B26" s="390" t="s">
        <v>213</v>
      </c>
      <c r="C26" s="391">
        <v>-2140</v>
      </c>
      <c r="D26" s="391">
        <v>-2489</v>
      </c>
      <c r="E26" s="391">
        <v>-6266</v>
      </c>
      <c r="F26" s="391">
        <v>-3876</v>
      </c>
      <c r="G26" s="391">
        <v>-2209</v>
      </c>
      <c r="H26" s="391">
        <v>-1950</v>
      </c>
      <c r="I26" s="391">
        <v>-2157</v>
      </c>
      <c r="J26" s="391">
        <v>-2153</v>
      </c>
      <c r="K26" s="391">
        <v>-5138</v>
      </c>
      <c r="L26" s="391">
        <v>-5187</v>
      </c>
      <c r="M26" s="391">
        <v>-4634</v>
      </c>
      <c r="N26" s="391">
        <v>-4774</v>
      </c>
      <c r="O26" s="391">
        <v>-4340</v>
      </c>
      <c r="P26" s="391">
        <v>-4589</v>
      </c>
      <c r="Q26" s="391">
        <v>-4233</v>
      </c>
    </row>
    <row r="27" spans="1:17" ht="15" customHeight="1">
      <c r="A27" s="390" t="s">
        <v>56</v>
      </c>
      <c r="B27" s="390" t="s">
        <v>44</v>
      </c>
      <c r="C27" s="391">
        <v>-5805</v>
      </c>
      <c r="D27" s="391">
        <v>-5832</v>
      </c>
      <c r="E27" s="391">
        <v>-5811</v>
      </c>
      <c r="F27" s="391">
        <v>-4130</v>
      </c>
      <c r="G27" s="391">
        <v>-5309</v>
      </c>
      <c r="H27" s="391">
        <v>-4955</v>
      </c>
      <c r="I27" s="391">
        <v>-4486</v>
      </c>
      <c r="J27" s="391">
        <v>-3058</v>
      </c>
      <c r="K27" s="391">
        <v>-2826</v>
      </c>
      <c r="L27" s="391">
        <v>-2205</v>
      </c>
      <c r="M27" s="391">
        <v>-2130</v>
      </c>
      <c r="N27" s="391">
        <v>-3514</v>
      </c>
      <c r="O27" s="391">
        <v>-2307</v>
      </c>
      <c r="P27" s="391">
        <v>-2139</v>
      </c>
      <c r="Q27" s="391">
        <v>-3445</v>
      </c>
    </row>
    <row r="28" spans="1:17" ht="15" customHeight="1">
      <c r="A28" s="390" t="s">
        <v>214</v>
      </c>
      <c r="B28" s="390" t="s">
        <v>215</v>
      </c>
      <c r="C28" s="391">
        <v>-5967</v>
      </c>
      <c r="D28" s="391">
        <v>-7008</v>
      </c>
      <c r="E28" s="391">
        <v>-6769</v>
      </c>
      <c r="F28" s="391">
        <v>-7440</v>
      </c>
      <c r="G28" s="391">
        <v>-7044</v>
      </c>
      <c r="H28" s="391">
        <v>-6451</v>
      </c>
      <c r="I28" s="391">
        <v>-6894</v>
      </c>
      <c r="J28" s="391">
        <v>-6933</v>
      </c>
      <c r="K28" s="391">
        <v>-7564</v>
      </c>
      <c r="L28" s="391">
        <v>-7575</v>
      </c>
      <c r="M28" s="391">
        <v>-7424</v>
      </c>
      <c r="N28" s="391">
        <v>-7864</v>
      </c>
      <c r="O28" s="391">
        <v>-7287</v>
      </c>
      <c r="P28" s="391">
        <v>-6532</v>
      </c>
      <c r="Q28" s="391">
        <v>-6759</v>
      </c>
    </row>
    <row r="29" spans="1:17" ht="15" customHeight="1">
      <c r="A29" s="390" t="s">
        <v>225</v>
      </c>
      <c r="B29" s="390" t="s">
        <v>226</v>
      </c>
      <c r="C29" s="391">
        <v>-1801</v>
      </c>
      <c r="D29" s="391">
        <v>-3050</v>
      </c>
      <c r="E29" s="391">
        <v>-3405</v>
      </c>
      <c r="F29" s="391">
        <v>-3662</v>
      </c>
      <c r="G29" s="391">
        <v>-2112</v>
      </c>
      <c r="H29" s="391">
        <v>-2403</v>
      </c>
      <c r="I29" s="391">
        <v>-2359</v>
      </c>
      <c r="J29" s="391">
        <v>-2470</v>
      </c>
      <c r="K29" s="391">
        <v>-2314</v>
      </c>
      <c r="L29" s="391">
        <v>-2153</v>
      </c>
      <c r="M29" s="391">
        <v>-2257</v>
      </c>
      <c r="N29" s="391">
        <v>-2189</v>
      </c>
      <c r="O29" s="391">
        <v>-2099</v>
      </c>
      <c r="P29" s="391">
        <v>-2575</v>
      </c>
      <c r="Q29" s="391">
        <v>-2628</v>
      </c>
    </row>
    <row r="30" spans="1:17" ht="15" customHeight="1">
      <c r="A30" s="390" t="s">
        <v>218</v>
      </c>
      <c r="B30" s="390" t="s">
        <v>219</v>
      </c>
      <c r="C30" s="391">
        <f>-8306-C20</f>
        <v>-7742</v>
      </c>
      <c r="D30" s="391">
        <f>-8534-D20</f>
        <v>-7895</v>
      </c>
      <c r="E30" s="391">
        <f>-5911-E20</f>
        <v>-5321</v>
      </c>
      <c r="F30" s="391">
        <f>-10516-F20</f>
        <v>-9111</v>
      </c>
      <c r="G30" s="391">
        <f>-8111-G20</f>
        <v>-7503</v>
      </c>
      <c r="H30" s="391">
        <f>-8862-H20</f>
        <v>-7071</v>
      </c>
      <c r="I30" s="391">
        <f>-9365-I20</f>
        <v>-7288</v>
      </c>
      <c r="J30" s="391">
        <f>-16791-J20</f>
        <v>-12349</v>
      </c>
      <c r="K30" s="391">
        <f>-14819-K20</f>
        <v>-11920</v>
      </c>
      <c r="L30" s="391">
        <v>-12519</v>
      </c>
      <c r="M30" s="391">
        <v>-15496</v>
      </c>
      <c r="N30" s="391">
        <v>-16960</v>
      </c>
      <c r="O30" s="391">
        <f>-10100-451</f>
        <v>-10551</v>
      </c>
      <c r="P30" s="391">
        <f>-7211-930</f>
        <v>-8141</v>
      </c>
      <c r="Q30" s="391">
        <v>-9559</v>
      </c>
    </row>
    <row r="31" spans="1:17" s="324" customFormat="1" ht="15" customHeight="1">
      <c r="A31" s="393"/>
      <c r="B31" s="393" t="s">
        <v>43</v>
      </c>
      <c r="C31" s="394">
        <f t="shared" ref="C31:O31" si="1">SUM(C18:C21,C23:C30)</f>
        <v>-95831</v>
      </c>
      <c r="D31" s="394">
        <f t="shared" si="1"/>
        <v>-112239</v>
      </c>
      <c r="E31" s="394">
        <f t="shared" si="1"/>
        <v>-127585</v>
      </c>
      <c r="F31" s="394">
        <f t="shared" si="1"/>
        <v>-127429</v>
      </c>
      <c r="G31" s="394">
        <f t="shared" si="1"/>
        <v>-88861</v>
      </c>
      <c r="H31" s="394">
        <f t="shared" si="1"/>
        <v>-119867</v>
      </c>
      <c r="I31" s="394">
        <f t="shared" si="1"/>
        <v>-93092</v>
      </c>
      <c r="J31" s="394">
        <f t="shared" si="1"/>
        <v>-166953</v>
      </c>
      <c r="K31" s="394">
        <f t="shared" si="1"/>
        <v>-109741</v>
      </c>
      <c r="L31" s="394">
        <f t="shared" si="1"/>
        <v>-138708</v>
      </c>
      <c r="M31" s="394">
        <f t="shared" si="1"/>
        <v>-118182</v>
      </c>
      <c r="N31" s="394">
        <f t="shared" si="1"/>
        <v>-153247</v>
      </c>
      <c r="O31" s="394">
        <f t="shared" si="1"/>
        <v>-123592</v>
      </c>
      <c r="P31" s="394">
        <f t="shared" ref="P31:Q31" si="2">SUM(P18:P21,P23:P30)</f>
        <v>-111804</v>
      </c>
      <c r="Q31" s="394">
        <f t="shared" si="2"/>
        <v>-116023</v>
      </c>
    </row>
    <row r="32" spans="1:17" ht="15" customHeight="1">
      <c r="P32" s="324"/>
      <c r="Q32" s="324"/>
    </row>
    <row r="33" spans="1:25" ht="15" customHeight="1">
      <c r="A33" s="393" t="s">
        <v>55</v>
      </c>
      <c r="B33" s="393" t="s">
        <v>4</v>
      </c>
      <c r="C33" s="394">
        <f t="shared" ref="C33:M33" si="3">SUM(C16,C31)</f>
        <v>475194</v>
      </c>
      <c r="D33" s="394">
        <f t="shared" si="3"/>
        <v>495642</v>
      </c>
      <c r="E33" s="394">
        <f t="shared" si="3"/>
        <v>526905</v>
      </c>
      <c r="F33" s="394">
        <f t="shared" si="3"/>
        <v>515383</v>
      </c>
      <c r="G33" s="394">
        <f t="shared" si="3"/>
        <v>515112</v>
      </c>
      <c r="H33" s="394">
        <f t="shared" si="3"/>
        <v>529760</v>
      </c>
      <c r="I33" s="394">
        <f t="shared" si="3"/>
        <v>515650</v>
      </c>
      <c r="J33" s="394">
        <f t="shared" si="3"/>
        <v>497277</v>
      </c>
      <c r="K33" s="394">
        <f t="shared" si="3"/>
        <v>520062</v>
      </c>
      <c r="L33" s="394">
        <f t="shared" si="3"/>
        <v>522357</v>
      </c>
      <c r="M33" s="394">
        <f t="shared" si="3"/>
        <v>544047</v>
      </c>
      <c r="N33" s="394">
        <f>SUM(N16,N31)</f>
        <v>541705</v>
      </c>
      <c r="O33" s="394">
        <f>SUM(O16,O31)</f>
        <v>538243</v>
      </c>
      <c r="P33" s="394">
        <f>SUM(P16,P31)</f>
        <v>491831</v>
      </c>
      <c r="Q33" s="394">
        <f>SUM(Q16,Q31)</f>
        <v>552731</v>
      </c>
      <c r="R33" s="29"/>
      <c r="S33" s="29"/>
      <c r="T33" s="29"/>
      <c r="U33" s="29"/>
      <c r="V33" s="29"/>
      <c r="W33" s="29"/>
      <c r="X33" s="29"/>
      <c r="Y33" s="29"/>
    </row>
    <row r="34" spans="1:25" ht="15" customHeight="1">
      <c r="R34" s="29"/>
      <c r="S34" s="29"/>
      <c r="T34" s="29"/>
      <c r="U34" s="29"/>
      <c r="V34" s="29"/>
      <c r="W34" s="29"/>
      <c r="X34" s="29"/>
      <c r="Y34" s="29"/>
    </row>
    <row r="35" spans="1:25" ht="15" customHeight="1" thickBot="1">
      <c r="C35" s="397"/>
      <c r="D35" s="389"/>
      <c r="E35" s="389"/>
      <c r="F35" s="389"/>
      <c r="G35" s="389"/>
      <c r="H35" s="389"/>
      <c r="I35" s="389"/>
      <c r="J35" s="389"/>
      <c r="K35" s="389"/>
      <c r="L35" s="389"/>
      <c r="M35" s="389"/>
      <c r="N35" s="389"/>
      <c r="O35" s="389"/>
      <c r="P35" s="389"/>
      <c r="Q35" s="389"/>
      <c r="R35" s="29"/>
      <c r="S35" s="29"/>
      <c r="T35" s="29"/>
      <c r="U35" s="29"/>
      <c r="V35" s="29"/>
      <c r="W35" s="29"/>
      <c r="X35" s="29"/>
      <c r="Y35" s="29"/>
    </row>
    <row r="36" spans="1:25" ht="15" customHeight="1" thickBot="1">
      <c r="A36" s="376" t="s">
        <v>55</v>
      </c>
      <c r="B36" s="376" t="s">
        <v>4</v>
      </c>
      <c r="C36" s="398" t="s">
        <v>189</v>
      </c>
      <c r="D36" s="389" t="s">
        <v>190</v>
      </c>
      <c r="E36" s="389" t="s">
        <v>191</v>
      </c>
      <c r="F36" s="389" t="str">
        <f>F2</f>
        <v>IV Q 2017</v>
      </c>
      <c r="G36" s="389" t="str">
        <f>G2</f>
        <v>I Q 2018</v>
      </c>
      <c r="H36" s="389" t="str">
        <f>H2</f>
        <v>II Q 2018</v>
      </c>
      <c r="I36" s="389" t="s">
        <v>195</v>
      </c>
      <c r="J36" s="389" t="str">
        <f>J2</f>
        <v>IV Q 2018</v>
      </c>
      <c r="K36" s="389" t="s">
        <v>197</v>
      </c>
      <c r="L36" s="389" t="s">
        <v>198</v>
      </c>
      <c r="M36" s="389" t="s">
        <v>623</v>
      </c>
      <c r="N36" s="389" t="str">
        <f>N2</f>
        <v>IV Q 2019</v>
      </c>
      <c r="O36" s="389" t="str">
        <f>O2</f>
        <v>I Q 2020</v>
      </c>
      <c r="P36" s="389" t="str">
        <f>P2</f>
        <v>II Q 2020</v>
      </c>
      <c r="Q36" s="389" t="str">
        <f>Q2</f>
        <v>III Q 2020</v>
      </c>
      <c r="R36" s="29"/>
      <c r="S36" s="29"/>
      <c r="T36" s="29"/>
      <c r="U36" s="29"/>
      <c r="V36" s="29"/>
      <c r="W36" s="29"/>
      <c r="X36" s="29"/>
      <c r="Y36" s="29"/>
    </row>
    <row r="37" spans="1:25" ht="15" customHeight="1">
      <c r="A37" s="390" t="s">
        <v>199</v>
      </c>
      <c r="B37" s="390" t="s">
        <v>200</v>
      </c>
      <c r="C37" s="391">
        <f t="shared" ref="C37:L37" si="4">C3+C18</f>
        <v>83166</v>
      </c>
      <c r="D37" s="391">
        <f t="shared" si="4"/>
        <v>85353</v>
      </c>
      <c r="E37" s="391">
        <f t="shared" si="4"/>
        <v>83698</v>
      </c>
      <c r="F37" s="391">
        <f t="shared" si="4"/>
        <v>85404</v>
      </c>
      <c r="G37" s="391">
        <f t="shared" si="4"/>
        <v>81314</v>
      </c>
      <c r="H37" s="391">
        <f t="shared" si="4"/>
        <v>80029</v>
      </c>
      <c r="I37" s="391">
        <f t="shared" si="4"/>
        <v>75671</v>
      </c>
      <c r="J37" s="391">
        <f t="shared" si="4"/>
        <v>80429</v>
      </c>
      <c r="K37" s="391">
        <f t="shared" si="4"/>
        <v>80848</v>
      </c>
      <c r="L37" s="391">
        <f t="shared" si="4"/>
        <v>81375</v>
      </c>
      <c r="M37" s="391">
        <v>81709</v>
      </c>
      <c r="N37" s="391">
        <v>80673</v>
      </c>
      <c r="O37" s="391">
        <v>78999</v>
      </c>
      <c r="P37" s="391">
        <f t="shared" ref="P37:Q39" si="5">P3+P18</f>
        <v>73027</v>
      </c>
      <c r="Q37" s="391">
        <f t="shared" si="5"/>
        <v>77437</v>
      </c>
      <c r="R37" s="29"/>
      <c r="S37" s="29"/>
      <c r="T37" s="29"/>
      <c r="U37" s="29"/>
      <c r="V37" s="29"/>
      <c r="W37" s="29"/>
      <c r="X37" s="29"/>
      <c r="Y37" s="29"/>
    </row>
    <row r="38" spans="1:25" ht="15" customHeight="1">
      <c r="A38" s="390" t="s">
        <v>620</v>
      </c>
      <c r="B38" s="390" t="s">
        <v>604</v>
      </c>
      <c r="C38" s="391">
        <f t="shared" ref="C38:L38" si="6">C4+C19</f>
        <v>58933</v>
      </c>
      <c r="D38" s="391">
        <f t="shared" si="6"/>
        <v>50701</v>
      </c>
      <c r="E38" s="391">
        <f t="shared" si="6"/>
        <v>67014</v>
      </c>
      <c r="F38" s="391">
        <f t="shared" si="6"/>
        <v>61381</v>
      </c>
      <c r="G38" s="391">
        <f t="shared" si="6"/>
        <v>72644</v>
      </c>
      <c r="H38" s="391">
        <f t="shared" si="6"/>
        <v>74018</v>
      </c>
      <c r="I38" s="391">
        <f t="shared" si="6"/>
        <v>82072</v>
      </c>
      <c r="J38" s="391">
        <f t="shared" si="6"/>
        <v>42663</v>
      </c>
      <c r="K38" s="391">
        <f t="shared" si="6"/>
        <v>78287</v>
      </c>
      <c r="L38" s="391">
        <f t="shared" si="6"/>
        <v>64767</v>
      </c>
      <c r="M38" s="391">
        <v>76414</v>
      </c>
      <c r="N38" s="391">
        <v>88937</v>
      </c>
      <c r="O38" s="391">
        <v>64404</v>
      </c>
      <c r="P38" s="391">
        <f t="shared" si="5"/>
        <v>81659</v>
      </c>
      <c r="Q38" s="391">
        <f t="shared" si="5"/>
        <v>101245</v>
      </c>
      <c r="R38" s="29"/>
      <c r="S38" s="29"/>
      <c r="T38" s="29"/>
      <c r="U38" s="29"/>
      <c r="V38" s="29"/>
      <c r="W38" s="29"/>
      <c r="X38" s="29"/>
      <c r="Y38" s="29"/>
    </row>
    <row r="39" spans="1:25" ht="15" customHeight="1">
      <c r="A39" s="390" t="s">
        <v>201</v>
      </c>
      <c r="B39" s="390" t="s">
        <v>202</v>
      </c>
      <c r="C39" s="391">
        <f>C5+C20</f>
        <v>12224</v>
      </c>
      <c r="D39" s="391">
        <f t="shared" ref="D39:L39" si="7">D5+D20</f>
        <v>11192</v>
      </c>
      <c r="E39" s="391">
        <f t="shared" si="7"/>
        <v>15755</v>
      </c>
      <c r="F39" s="391">
        <f t="shared" si="7"/>
        <v>17934</v>
      </c>
      <c r="G39" s="391">
        <f t="shared" si="7"/>
        <v>14213</v>
      </c>
      <c r="H39" s="391">
        <f t="shared" si="7"/>
        <v>13144</v>
      </c>
      <c r="I39" s="391">
        <f t="shared" si="7"/>
        <v>12663</v>
      </c>
      <c r="J39" s="391">
        <f t="shared" si="7"/>
        <v>21584</v>
      </c>
      <c r="K39" s="391">
        <f t="shared" si="7"/>
        <v>14492</v>
      </c>
      <c r="L39" s="391">
        <f t="shared" si="7"/>
        <v>12995</v>
      </c>
      <c r="M39" s="391">
        <v>16046</v>
      </c>
      <c r="N39" s="391">
        <v>2201</v>
      </c>
      <c r="O39" s="391">
        <v>10612</v>
      </c>
      <c r="P39" s="391">
        <f t="shared" si="5"/>
        <v>5719</v>
      </c>
      <c r="Q39" s="391">
        <f t="shared" si="5"/>
        <v>7772</v>
      </c>
      <c r="R39" s="29"/>
      <c r="S39" s="29"/>
      <c r="T39" s="29"/>
      <c r="U39" s="29"/>
      <c r="V39" s="29"/>
      <c r="W39" s="29"/>
      <c r="X39" s="29"/>
      <c r="Y39" s="29"/>
    </row>
    <row r="40" spans="1:25" ht="15" customHeight="1">
      <c r="A40" s="390" t="s">
        <v>203</v>
      </c>
      <c r="B40" s="390" t="s">
        <v>204</v>
      </c>
      <c r="C40" s="391">
        <f t="shared" ref="C40:L40" si="8">C6</f>
        <v>78131</v>
      </c>
      <c r="D40" s="391">
        <f t="shared" si="8"/>
        <v>84907</v>
      </c>
      <c r="E40" s="391">
        <f t="shared" si="8"/>
        <v>91823</v>
      </c>
      <c r="F40" s="391">
        <f t="shared" si="8"/>
        <v>91195</v>
      </c>
      <c r="G40" s="391">
        <f t="shared" si="8"/>
        <v>89091</v>
      </c>
      <c r="H40" s="391">
        <f t="shared" si="8"/>
        <v>100549</v>
      </c>
      <c r="I40" s="391">
        <f t="shared" si="8"/>
        <v>96500</v>
      </c>
      <c r="J40" s="391">
        <f t="shared" si="8"/>
        <v>109843</v>
      </c>
      <c r="K40" s="391">
        <f t="shared" si="8"/>
        <v>106851</v>
      </c>
      <c r="L40" s="391">
        <f t="shared" si="8"/>
        <v>113794</v>
      </c>
      <c r="M40" s="391">
        <v>111614</v>
      </c>
      <c r="N40" s="391">
        <v>110458</v>
      </c>
      <c r="O40" s="391">
        <v>121539</v>
      </c>
      <c r="P40" s="391">
        <f t="shared" ref="P40:Q40" si="9">P6</f>
        <v>104174</v>
      </c>
      <c r="Q40" s="391">
        <f t="shared" si="9"/>
        <v>116339</v>
      </c>
      <c r="R40" s="29"/>
      <c r="S40" s="29"/>
      <c r="T40" s="29"/>
      <c r="U40" s="29"/>
      <c r="V40" s="29"/>
      <c r="W40" s="29"/>
      <c r="X40" s="29"/>
      <c r="Y40" s="29"/>
    </row>
    <row r="41" spans="1:25" ht="15" customHeight="1">
      <c r="A41" s="390" t="s">
        <v>205</v>
      </c>
      <c r="B41" s="390" t="s">
        <v>206</v>
      </c>
      <c r="C41" s="391">
        <f t="shared" ref="C41:L41" si="10">C7+C21</f>
        <v>88449</v>
      </c>
      <c r="D41" s="391">
        <f t="shared" si="10"/>
        <v>92393</v>
      </c>
      <c r="E41" s="391">
        <f t="shared" si="10"/>
        <v>93025</v>
      </c>
      <c r="F41" s="391">
        <f t="shared" si="10"/>
        <v>98827</v>
      </c>
      <c r="G41" s="391">
        <f t="shared" si="10"/>
        <v>94406</v>
      </c>
      <c r="H41" s="391">
        <f t="shared" si="10"/>
        <v>95680</v>
      </c>
      <c r="I41" s="391">
        <f t="shared" si="10"/>
        <v>96924</v>
      </c>
      <c r="J41" s="391">
        <f t="shared" si="10"/>
        <v>99424</v>
      </c>
      <c r="K41" s="391">
        <f t="shared" si="10"/>
        <v>94473</v>
      </c>
      <c r="L41" s="391">
        <f t="shared" si="10"/>
        <v>98096</v>
      </c>
      <c r="M41" s="391">
        <v>100793</v>
      </c>
      <c r="N41" s="391">
        <v>94553</v>
      </c>
      <c r="O41" s="391">
        <v>88902</v>
      </c>
      <c r="P41" s="391">
        <f t="shared" ref="P41:Q43" si="11">P7+P21</f>
        <v>85415</v>
      </c>
      <c r="Q41" s="391">
        <f t="shared" si="11"/>
        <v>99872</v>
      </c>
      <c r="R41" s="29"/>
      <c r="S41" s="29"/>
      <c r="T41" s="29"/>
      <c r="U41" s="29"/>
      <c r="V41" s="29"/>
      <c r="W41" s="29"/>
      <c r="X41" s="29"/>
      <c r="Y41" s="29"/>
    </row>
    <row r="42" spans="1:25" ht="15" customHeight="1">
      <c r="A42" s="390" t="s">
        <v>207</v>
      </c>
      <c r="B42" s="390" t="s">
        <v>208</v>
      </c>
      <c r="C42" s="391">
        <f t="shared" ref="C42:L42" si="12">C8+C22</f>
        <v>42512</v>
      </c>
      <c r="D42" s="391">
        <f t="shared" si="12"/>
        <v>43677</v>
      </c>
      <c r="E42" s="391">
        <f t="shared" si="12"/>
        <v>45121</v>
      </c>
      <c r="F42" s="391">
        <f t="shared" si="12"/>
        <v>46657</v>
      </c>
      <c r="G42" s="391">
        <f t="shared" si="12"/>
        <v>45954</v>
      </c>
      <c r="H42" s="391">
        <f t="shared" si="12"/>
        <v>47888</v>
      </c>
      <c r="I42" s="391">
        <f t="shared" si="12"/>
        <v>47191</v>
      </c>
      <c r="J42" s="391">
        <f t="shared" si="12"/>
        <v>48142</v>
      </c>
      <c r="K42" s="391">
        <f t="shared" si="12"/>
        <v>45528</v>
      </c>
      <c r="L42" s="391">
        <f t="shared" si="12"/>
        <v>49414</v>
      </c>
      <c r="M42" s="391">
        <v>50512</v>
      </c>
      <c r="N42" s="391">
        <v>48824</v>
      </c>
      <c r="O42" s="391">
        <v>47935</v>
      </c>
      <c r="P42" s="391">
        <f t="shared" si="11"/>
        <v>49137</v>
      </c>
      <c r="Q42" s="391">
        <f t="shared" si="11"/>
        <v>56326</v>
      </c>
      <c r="R42" s="29"/>
      <c r="S42" s="29"/>
      <c r="T42" s="29"/>
      <c r="U42" s="29"/>
      <c r="V42" s="29"/>
      <c r="W42" s="29"/>
      <c r="X42" s="29"/>
      <c r="Y42" s="29"/>
    </row>
    <row r="43" spans="1:25" ht="15" customHeight="1">
      <c r="A43" s="390" t="s">
        <v>209</v>
      </c>
      <c r="B43" s="390" t="s">
        <v>210</v>
      </c>
      <c r="C43" s="391">
        <f t="shared" ref="C43:L43" si="13">C9+C23</f>
        <v>31106</v>
      </c>
      <c r="D43" s="391">
        <f t="shared" si="13"/>
        <v>32537</v>
      </c>
      <c r="E43" s="391">
        <f t="shared" si="13"/>
        <v>37283</v>
      </c>
      <c r="F43" s="391">
        <f t="shared" si="13"/>
        <v>35360</v>
      </c>
      <c r="G43" s="391">
        <f t="shared" si="13"/>
        <v>34411</v>
      </c>
      <c r="H43" s="391">
        <f t="shared" si="13"/>
        <v>31953</v>
      </c>
      <c r="I43" s="391">
        <f t="shared" si="13"/>
        <v>32923</v>
      </c>
      <c r="J43" s="391">
        <f t="shared" si="13"/>
        <v>36397</v>
      </c>
      <c r="K43" s="391">
        <f t="shared" si="13"/>
        <v>35279</v>
      </c>
      <c r="L43" s="391">
        <f t="shared" si="13"/>
        <v>35124</v>
      </c>
      <c r="M43" s="391">
        <v>36332</v>
      </c>
      <c r="N43" s="391">
        <v>39048</v>
      </c>
      <c r="O43" s="391">
        <v>33218</v>
      </c>
      <c r="P43" s="391">
        <f t="shared" si="11"/>
        <v>32307</v>
      </c>
      <c r="Q43" s="391">
        <f t="shared" si="11"/>
        <v>30455</v>
      </c>
      <c r="R43" s="29"/>
      <c r="S43" s="29"/>
      <c r="T43" s="29"/>
      <c r="U43" s="29"/>
      <c r="V43" s="29"/>
      <c r="W43" s="29"/>
      <c r="X43" s="29"/>
      <c r="Y43" s="29"/>
    </row>
    <row r="44" spans="1:25" ht="15" customHeight="1">
      <c r="A44" s="390" t="s">
        <v>56</v>
      </c>
      <c r="B44" s="390" t="s">
        <v>44</v>
      </c>
      <c r="C44" s="391">
        <f t="shared" ref="C44:L44" si="14">C10+C27</f>
        <v>-1949</v>
      </c>
      <c r="D44" s="391">
        <f t="shared" si="14"/>
        <v>-2790</v>
      </c>
      <c r="E44" s="391">
        <f t="shared" si="14"/>
        <v>-4185</v>
      </c>
      <c r="F44" s="391">
        <f t="shared" si="14"/>
        <v>-2924</v>
      </c>
      <c r="G44" s="391">
        <f t="shared" si="14"/>
        <v>-4446</v>
      </c>
      <c r="H44" s="391">
        <f t="shared" si="14"/>
        <v>-4272</v>
      </c>
      <c r="I44" s="391">
        <f t="shared" si="14"/>
        <v>-4214</v>
      </c>
      <c r="J44" s="391">
        <f t="shared" si="14"/>
        <v>-85</v>
      </c>
      <c r="K44" s="391">
        <f t="shared" si="14"/>
        <v>-1113</v>
      </c>
      <c r="L44" s="391">
        <f t="shared" si="14"/>
        <v>-766</v>
      </c>
      <c r="M44" s="391">
        <v>-740</v>
      </c>
      <c r="N44" s="391">
        <v>12893</v>
      </c>
      <c r="O44" s="391">
        <v>1938</v>
      </c>
      <c r="P44" s="391">
        <f t="shared" ref="P44:Q44" si="15">P10+P27</f>
        <v>959</v>
      </c>
      <c r="Q44" s="391">
        <f t="shared" si="15"/>
        <v>950</v>
      </c>
      <c r="R44" s="29"/>
      <c r="S44" s="29"/>
      <c r="T44" s="29"/>
      <c r="U44" s="29"/>
      <c r="V44" s="29"/>
      <c r="W44" s="29"/>
      <c r="X44" s="29"/>
      <c r="Y44" s="29"/>
    </row>
    <row r="45" spans="1:25" ht="15" customHeight="1">
      <c r="A45" s="390" t="s">
        <v>211</v>
      </c>
      <c r="B45" s="390" t="s">
        <v>212</v>
      </c>
      <c r="C45" s="391">
        <f t="shared" ref="C45:L45" si="16">C11+C25</f>
        <v>67435</v>
      </c>
      <c r="D45" s="391">
        <f t="shared" si="16"/>
        <v>73280</v>
      </c>
      <c r="E45" s="391">
        <f t="shared" si="16"/>
        <v>78310</v>
      </c>
      <c r="F45" s="391">
        <f t="shared" si="16"/>
        <v>80842</v>
      </c>
      <c r="G45" s="391">
        <f t="shared" si="16"/>
        <v>79372</v>
      </c>
      <c r="H45" s="391">
        <f t="shared" si="16"/>
        <v>78187</v>
      </c>
      <c r="I45" s="391">
        <f t="shared" si="16"/>
        <v>75502</v>
      </c>
      <c r="J45" s="391">
        <f t="shared" si="16"/>
        <v>70348</v>
      </c>
      <c r="K45" s="391">
        <f t="shared" si="16"/>
        <v>65646</v>
      </c>
      <c r="L45" s="391">
        <f t="shared" si="16"/>
        <v>68395</v>
      </c>
      <c r="M45" s="391">
        <v>70815</v>
      </c>
      <c r="N45" s="391">
        <v>68795</v>
      </c>
      <c r="O45" s="391">
        <v>64262</v>
      </c>
      <c r="P45" s="391">
        <f t="shared" ref="P45:Q46" si="17">P11+P25</f>
        <v>47691</v>
      </c>
      <c r="Q45" s="391">
        <f t="shared" si="17"/>
        <v>55265</v>
      </c>
      <c r="R45" s="29"/>
      <c r="S45" s="29"/>
      <c r="T45" s="29"/>
      <c r="U45" s="29"/>
      <c r="V45" s="29"/>
      <c r="W45" s="29"/>
      <c r="X45" s="29"/>
      <c r="Y45" s="29"/>
    </row>
    <row r="46" spans="1:25" ht="15" customHeight="1">
      <c r="A46" s="390" t="s">
        <v>57</v>
      </c>
      <c r="B46" s="390" t="s">
        <v>213</v>
      </c>
      <c r="C46" s="391">
        <f t="shared" ref="C46:L46" si="18">C12+C26</f>
        <v>49341</v>
      </c>
      <c r="D46" s="391">
        <f t="shared" si="18"/>
        <v>54167</v>
      </c>
      <c r="E46" s="391">
        <f t="shared" si="18"/>
        <v>48278</v>
      </c>
      <c r="F46" s="391">
        <f t="shared" si="18"/>
        <v>47015</v>
      </c>
      <c r="G46" s="391">
        <f t="shared" si="18"/>
        <v>47935</v>
      </c>
      <c r="H46" s="391">
        <f t="shared" si="18"/>
        <v>52239</v>
      </c>
      <c r="I46" s="391">
        <f t="shared" si="18"/>
        <v>45161</v>
      </c>
      <c r="J46" s="391">
        <f t="shared" si="18"/>
        <v>37108</v>
      </c>
      <c r="K46" s="391">
        <f t="shared" si="18"/>
        <v>43573</v>
      </c>
      <c r="L46" s="391">
        <f t="shared" si="18"/>
        <v>52640</v>
      </c>
      <c r="M46" s="391">
        <v>53227</v>
      </c>
      <c r="N46" s="391">
        <v>53354</v>
      </c>
      <c r="O46" s="391">
        <v>55970</v>
      </c>
      <c r="P46" s="391">
        <f t="shared" si="17"/>
        <v>43861</v>
      </c>
      <c r="Q46" s="391">
        <f t="shared" si="17"/>
        <v>52795</v>
      </c>
      <c r="R46" s="29"/>
      <c r="S46" s="29"/>
      <c r="T46" s="29"/>
      <c r="U46" s="29"/>
      <c r="V46" s="29"/>
      <c r="W46" s="29"/>
      <c r="X46" s="29"/>
      <c r="Y46" s="29"/>
    </row>
    <row r="47" spans="1:25" ht="15" customHeight="1">
      <c r="A47" s="390" t="s">
        <v>114</v>
      </c>
      <c r="B47" s="390" t="s">
        <v>113</v>
      </c>
      <c r="C47" s="391">
        <f t="shared" ref="C47:L47" si="19">C13+C24</f>
        <v>18897</v>
      </c>
      <c r="D47" s="391">
        <f t="shared" si="19"/>
        <v>19931</v>
      </c>
      <c r="E47" s="391">
        <f t="shared" si="19"/>
        <v>23728</v>
      </c>
      <c r="F47" s="391">
        <f t="shared" si="19"/>
        <v>14398</v>
      </c>
      <c r="G47" s="391">
        <f t="shared" si="19"/>
        <v>15401</v>
      </c>
      <c r="H47" s="391">
        <f t="shared" si="19"/>
        <v>16684</v>
      </c>
      <c r="I47" s="391">
        <f t="shared" si="19"/>
        <v>12530</v>
      </c>
      <c r="J47" s="391">
        <f t="shared" si="19"/>
        <v>14241</v>
      </c>
      <c r="K47" s="391">
        <f t="shared" si="19"/>
        <v>16213</v>
      </c>
      <c r="L47" s="391">
        <f t="shared" si="19"/>
        <v>11222</v>
      </c>
      <c r="M47" s="391">
        <v>13933</v>
      </c>
      <c r="N47" s="391">
        <v>9964</v>
      </c>
      <c r="O47" s="391">
        <v>24660</v>
      </c>
      <c r="P47" s="391">
        <f t="shared" ref="P47:Q47" si="20">P13+P24</f>
        <v>28227</v>
      </c>
      <c r="Q47" s="391">
        <f t="shared" si="20"/>
        <v>23159</v>
      </c>
      <c r="R47" s="29"/>
      <c r="S47" s="29"/>
      <c r="T47" s="29"/>
      <c r="U47" s="29"/>
      <c r="V47" s="29"/>
      <c r="W47" s="29"/>
      <c r="X47" s="29"/>
      <c r="Y47" s="29"/>
    </row>
    <row r="48" spans="1:25" ht="15" customHeight="1">
      <c r="A48" s="390" t="s">
        <v>214</v>
      </c>
      <c r="B48" s="390" t="s">
        <v>215</v>
      </c>
      <c r="C48" s="391">
        <f t="shared" ref="C48:L48" si="21">C14+C28</f>
        <v>-1993</v>
      </c>
      <c r="D48" s="391">
        <f t="shared" si="21"/>
        <v>-2891</v>
      </c>
      <c r="E48" s="391">
        <f t="shared" si="21"/>
        <v>-3049</v>
      </c>
      <c r="F48" s="391">
        <f t="shared" si="21"/>
        <v>-3023</v>
      </c>
      <c r="G48" s="391">
        <f t="shared" si="21"/>
        <v>-2672</v>
      </c>
      <c r="H48" s="391">
        <f t="shared" si="21"/>
        <v>-1804</v>
      </c>
      <c r="I48" s="391">
        <f t="shared" si="21"/>
        <v>-1873</v>
      </c>
      <c r="J48" s="391">
        <f t="shared" si="21"/>
        <v>-1056</v>
      </c>
      <c r="K48" s="391">
        <f t="shared" si="21"/>
        <v>-1287</v>
      </c>
      <c r="L48" s="391">
        <f t="shared" si="21"/>
        <v>-1577</v>
      </c>
      <c r="M48" s="391">
        <v>-848</v>
      </c>
      <c r="N48" s="391">
        <v>-2084</v>
      </c>
      <c r="O48" s="391">
        <v>-832</v>
      </c>
      <c r="P48" s="391">
        <f t="shared" ref="P48:Q48" si="22">P14+P28</f>
        <v>-1450</v>
      </c>
      <c r="Q48" s="391">
        <f t="shared" si="22"/>
        <v>-1009</v>
      </c>
      <c r="R48" s="29"/>
      <c r="S48" s="29"/>
      <c r="T48" s="29"/>
      <c r="U48" s="29"/>
      <c r="V48" s="29"/>
      <c r="W48" s="29"/>
      <c r="X48" s="29"/>
      <c r="Y48" s="29"/>
    </row>
    <row r="49" spans="1:25" ht="15" customHeight="1">
      <c r="A49" s="390" t="s">
        <v>216</v>
      </c>
      <c r="B49" s="390" t="s">
        <v>217</v>
      </c>
      <c r="C49" s="391">
        <f t="shared" ref="C49:L49" si="23">C15</f>
        <v>997</v>
      </c>
      <c r="D49" s="391">
        <f t="shared" si="23"/>
        <v>7807</v>
      </c>
      <c r="E49" s="391">
        <f t="shared" si="23"/>
        <v>3951</v>
      </c>
      <c r="F49" s="391">
        <f t="shared" si="23"/>
        <v>1747</v>
      </c>
      <c r="G49" s="391">
        <f t="shared" si="23"/>
        <v>3058</v>
      </c>
      <c r="H49" s="391">
        <f t="shared" si="23"/>
        <v>2827</v>
      </c>
      <c r="I49" s="391">
        <f t="shared" si="23"/>
        <v>1438</v>
      </c>
      <c r="J49" s="391">
        <f t="shared" si="23"/>
        <v>1200</v>
      </c>
      <c r="K49" s="391">
        <f t="shared" si="23"/>
        <v>1034</v>
      </c>
      <c r="L49" s="391">
        <f t="shared" si="23"/>
        <v>964</v>
      </c>
      <c r="M49" s="391">
        <v>2505</v>
      </c>
      <c r="N49" s="391">
        <v>2062</v>
      </c>
      <c r="O49" s="391">
        <v>7222</v>
      </c>
      <c r="P49" s="391">
        <f t="shared" ref="P49:Q49" si="24">P15</f>
        <v>958</v>
      </c>
      <c r="Q49" s="391">
        <f t="shared" si="24"/>
        <v>638</v>
      </c>
      <c r="R49" s="29"/>
      <c r="S49" s="29"/>
      <c r="T49" s="29"/>
      <c r="U49" s="29"/>
      <c r="V49" s="29"/>
      <c r="W49" s="29"/>
      <c r="X49" s="29"/>
      <c r="Y49" s="29"/>
    </row>
    <row r="50" spans="1:25" ht="15" customHeight="1">
      <c r="A50" s="390" t="s">
        <v>218</v>
      </c>
      <c r="B50" s="390" t="s">
        <v>227</v>
      </c>
      <c r="C50" s="391">
        <f t="shared" ref="C50:H50" si="25">C30+C29</f>
        <v>-9543</v>
      </c>
      <c r="D50" s="391">
        <f t="shared" si="25"/>
        <v>-10945</v>
      </c>
      <c r="E50" s="391">
        <f t="shared" si="25"/>
        <v>-8726</v>
      </c>
      <c r="F50" s="391">
        <f t="shared" si="25"/>
        <v>-12773</v>
      </c>
      <c r="G50" s="391">
        <f t="shared" si="25"/>
        <v>-9615</v>
      </c>
      <c r="H50" s="391">
        <f t="shared" si="25"/>
        <v>-9474</v>
      </c>
      <c r="I50" s="391">
        <f>I30+I29+1</f>
        <v>-9646</v>
      </c>
      <c r="J50" s="391">
        <f>J30+J29+1</f>
        <v>-14818</v>
      </c>
      <c r="K50" s="391">
        <f>K30+K29</f>
        <v>-14234</v>
      </c>
      <c r="L50" s="391">
        <f>L30+L29</f>
        <v>-14672</v>
      </c>
      <c r="M50" s="391">
        <v>-17753</v>
      </c>
      <c r="N50" s="391">
        <v>-19149</v>
      </c>
      <c r="O50" s="391">
        <v>-12650</v>
      </c>
      <c r="P50" s="391">
        <f>P30+P29</f>
        <v>-10716</v>
      </c>
      <c r="Q50" s="391">
        <f>Q30+Q29</f>
        <v>-12187</v>
      </c>
      <c r="R50" s="29"/>
      <c r="S50" s="29"/>
      <c r="T50" s="29"/>
      <c r="U50" s="29"/>
      <c r="V50" s="29"/>
      <c r="W50" s="29"/>
      <c r="X50" s="29"/>
      <c r="Y50" s="29"/>
    </row>
    <row r="51" spans="1:25" ht="15" customHeight="1">
      <c r="A51" s="393" t="s">
        <v>58</v>
      </c>
      <c r="B51" s="393" t="s">
        <v>43</v>
      </c>
      <c r="C51" s="394">
        <f t="shared" ref="C51:H51" si="26">SUM(C37:C41,C43:C50)</f>
        <v>475194</v>
      </c>
      <c r="D51" s="394">
        <f t="shared" si="26"/>
        <v>495642</v>
      </c>
      <c r="E51" s="394">
        <f t="shared" si="26"/>
        <v>526905</v>
      </c>
      <c r="F51" s="394">
        <f t="shared" si="26"/>
        <v>515383</v>
      </c>
      <c r="G51" s="394">
        <f t="shared" si="26"/>
        <v>515112</v>
      </c>
      <c r="H51" s="394">
        <f t="shared" si="26"/>
        <v>529760</v>
      </c>
      <c r="I51" s="394">
        <f>SUM(I37:I41,I43:I50)-1</f>
        <v>515650</v>
      </c>
      <c r="J51" s="394">
        <f t="shared" ref="J51:O51" si="27">SUM(J37:J41,J43:J50)</f>
        <v>497278</v>
      </c>
      <c r="K51" s="394">
        <f t="shared" si="27"/>
        <v>520062</v>
      </c>
      <c r="L51" s="394">
        <f t="shared" si="27"/>
        <v>522357</v>
      </c>
      <c r="M51" s="394">
        <f t="shared" si="27"/>
        <v>544047</v>
      </c>
      <c r="N51" s="394">
        <f t="shared" si="27"/>
        <v>541705</v>
      </c>
      <c r="O51" s="394">
        <f t="shared" si="27"/>
        <v>538244</v>
      </c>
      <c r="P51" s="394">
        <f t="shared" ref="P51:Q51" si="28">SUM(P37:P41,P43:P50)</f>
        <v>491831</v>
      </c>
      <c r="Q51" s="394">
        <f t="shared" si="28"/>
        <v>552731</v>
      </c>
      <c r="R51" s="29"/>
      <c r="S51" s="29"/>
      <c r="T51" s="29"/>
      <c r="U51" s="29"/>
      <c r="V51" s="29"/>
      <c r="W51" s="29"/>
      <c r="X51" s="29"/>
      <c r="Y51" s="29"/>
    </row>
    <row r="52" spans="1:25" s="296" customFormat="1" ht="15" customHeight="1">
      <c r="C52" s="298">
        <f>C51-C33</f>
        <v>0</v>
      </c>
      <c r="K52" s="333"/>
    </row>
    <row r="53" spans="1:25" s="296" customFormat="1" ht="15" customHeight="1" thickBot="1">
      <c r="C53" s="397"/>
      <c r="D53" s="389"/>
      <c r="K53" s="333"/>
    </row>
    <row r="54" spans="1:25" s="296" customFormat="1" ht="15" customHeight="1" thickBot="1">
      <c r="A54" s="376" t="s">
        <v>55</v>
      </c>
      <c r="B54" s="376" t="s">
        <v>4</v>
      </c>
      <c r="C54" s="398" t="s">
        <v>189</v>
      </c>
      <c r="D54" s="389" t="s">
        <v>190</v>
      </c>
      <c r="E54" s="398" t="str">
        <f t="shared" ref="E54:K54" si="29">E36</f>
        <v>III Q 2017</v>
      </c>
      <c r="F54" s="398" t="str">
        <f t="shared" si="29"/>
        <v>IV Q 2017</v>
      </c>
      <c r="G54" s="398" t="str">
        <f t="shared" si="29"/>
        <v>I Q 2018</v>
      </c>
      <c r="H54" s="398" t="str">
        <f t="shared" si="29"/>
        <v>II Q 2018</v>
      </c>
      <c r="I54" s="398" t="str">
        <f t="shared" si="29"/>
        <v>III Q 2018</v>
      </c>
      <c r="J54" s="398" t="str">
        <f t="shared" si="29"/>
        <v>IV Q 2018</v>
      </c>
      <c r="K54" s="398" t="str">
        <f t="shared" si="29"/>
        <v>I Q 2019</v>
      </c>
      <c r="L54" s="398" t="s">
        <v>198</v>
      </c>
      <c r="M54" s="398" t="s">
        <v>623</v>
      </c>
      <c r="N54" s="398" t="str">
        <f>N36</f>
        <v>IV Q 2019</v>
      </c>
      <c r="O54" s="398" t="str">
        <f>O36</f>
        <v>I Q 2020</v>
      </c>
      <c r="P54" s="398" t="str">
        <f>P36</f>
        <v>II Q 2020</v>
      </c>
      <c r="Q54" s="398" t="str">
        <f>Q36</f>
        <v>III Q 2020</v>
      </c>
    </row>
    <row r="55" spans="1:25" s="296" customFormat="1" ht="14.25">
      <c r="A55" s="399" t="s">
        <v>617</v>
      </c>
      <c r="B55" s="399" t="s">
        <v>607</v>
      </c>
      <c r="C55" s="391"/>
      <c r="D55" s="391"/>
      <c r="E55" s="391"/>
      <c r="F55" s="391"/>
      <c r="G55" s="391"/>
      <c r="H55" s="391"/>
      <c r="I55" s="391"/>
      <c r="J55" s="391"/>
      <c r="K55" s="391"/>
      <c r="L55" s="391"/>
      <c r="M55" s="391"/>
      <c r="N55" s="391"/>
      <c r="O55" s="391"/>
      <c r="P55" s="391"/>
      <c r="Q55" s="391"/>
    </row>
    <row r="56" spans="1:25" s="296" customFormat="1" ht="15" customHeight="1">
      <c r="A56" s="400" t="s">
        <v>606</v>
      </c>
      <c r="B56" s="390" t="s">
        <v>605</v>
      </c>
      <c r="C56" s="401">
        <f t="shared" ref="C56:K56" si="30">C45/1000</f>
        <v>67</v>
      </c>
      <c r="D56" s="401">
        <f t="shared" si="30"/>
        <v>73</v>
      </c>
      <c r="E56" s="401">
        <f t="shared" si="30"/>
        <v>78</v>
      </c>
      <c r="F56" s="401">
        <f t="shared" si="30"/>
        <v>81</v>
      </c>
      <c r="G56" s="401">
        <f t="shared" si="30"/>
        <v>79</v>
      </c>
      <c r="H56" s="401">
        <f t="shared" si="30"/>
        <v>78</v>
      </c>
      <c r="I56" s="401">
        <f t="shared" si="30"/>
        <v>76</v>
      </c>
      <c r="J56" s="401">
        <f t="shared" si="30"/>
        <v>70</v>
      </c>
      <c r="K56" s="401">
        <f t="shared" si="30"/>
        <v>66</v>
      </c>
      <c r="L56" s="401">
        <f>L45/1000+1</f>
        <v>69</v>
      </c>
      <c r="M56" s="401">
        <f>M45/1000</f>
        <v>71</v>
      </c>
      <c r="N56" s="401">
        <f>N45/1000</f>
        <v>69</v>
      </c>
      <c r="O56" s="401">
        <f>O45/1000</f>
        <v>64</v>
      </c>
      <c r="P56" s="401">
        <f>P45/1000</f>
        <v>48</v>
      </c>
      <c r="Q56" s="401">
        <f>Q45/1000</f>
        <v>55</v>
      </c>
    </row>
    <row r="57" spans="1:25" s="296" customFormat="1" ht="15" customHeight="1">
      <c r="A57" s="390" t="s">
        <v>56</v>
      </c>
      <c r="B57" s="390" t="s">
        <v>44</v>
      </c>
      <c r="C57" s="391">
        <f>C44/1000</f>
        <v>-2</v>
      </c>
      <c r="D57" s="391">
        <f t="shared" ref="D57:L57" si="31">D44/1000</f>
        <v>-3</v>
      </c>
      <c r="E57" s="391">
        <f t="shared" si="31"/>
        <v>-4</v>
      </c>
      <c r="F57" s="391">
        <f t="shared" si="31"/>
        <v>-3</v>
      </c>
      <c r="G57" s="391">
        <f t="shared" si="31"/>
        <v>-4</v>
      </c>
      <c r="H57" s="391">
        <f t="shared" si="31"/>
        <v>-4</v>
      </c>
      <c r="I57" s="391">
        <f t="shared" si="31"/>
        <v>-4</v>
      </c>
      <c r="J57" s="391">
        <f t="shared" si="31"/>
        <v>0</v>
      </c>
      <c r="K57" s="391">
        <f t="shared" si="31"/>
        <v>-1</v>
      </c>
      <c r="L57" s="391">
        <f t="shared" si="31"/>
        <v>-1</v>
      </c>
      <c r="M57" s="391">
        <f>M44/1000</f>
        <v>-1</v>
      </c>
      <c r="N57" s="391">
        <f>N44/1000</f>
        <v>13</v>
      </c>
      <c r="O57" s="391">
        <f>O44/1000</f>
        <v>2</v>
      </c>
      <c r="P57" s="391">
        <f>P44/1000</f>
        <v>1</v>
      </c>
      <c r="Q57" s="391">
        <f>Q44/1000</f>
        <v>1</v>
      </c>
    </row>
    <row r="58" spans="1:25" s="296" customFormat="1" ht="15" customHeight="1">
      <c r="A58" s="390" t="s">
        <v>114</v>
      </c>
      <c r="B58" s="390" t="s">
        <v>113</v>
      </c>
      <c r="C58" s="391">
        <f t="shared" ref="C58:L58" si="32">C47/1000</f>
        <v>19</v>
      </c>
      <c r="D58" s="391">
        <f t="shared" si="32"/>
        <v>20</v>
      </c>
      <c r="E58" s="391">
        <f t="shared" si="32"/>
        <v>24</v>
      </c>
      <c r="F58" s="391">
        <f t="shared" si="32"/>
        <v>14</v>
      </c>
      <c r="G58" s="391">
        <f t="shared" si="32"/>
        <v>15</v>
      </c>
      <c r="H58" s="391">
        <f t="shared" si="32"/>
        <v>17</v>
      </c>
      <c r="I58" s="391">
        <f t="shared" si="32"/>
        <v>13</v>
      </c>
      <c r="J58" s="391">
        <f t="shared" si="32"/>
        <v>14</v>
      </c>
      <c r="K58" s="391">
        <f t="shared" si="32"/>
        <v>16</v>
      </c>
      <c r="L58" s="391">
        <f t="shared" si="32"/>
        <v>11</v>
      </c>
      <c r="M58" s="391">
        <f>M47/1000</f>
        <v>14</v>
      </c>
      <c r="N58" s="391">
        <f>N47/1000</f>
        <v>10</v>
      </c>
      <c r="O58" s="391">
        <f>O47/1000</f>
        <v>25</v>
      </c>
      <c r="P58" s="391">
        <f>P47/1000</f>
        <v>28</v>
      </c>
      <c r="Q58" s="391">
        <f>Q47/1000</f>
        <v>23</v>
      </c>
    </row>
    <row r="59" spans="1:25" s="296" customFormat="1" ht="15" customHeight="1">
      <c r="A59" s="390" t="s">
        <v>201</v>
      </c>
      <c r="B59" s="390" t="s">
        <v>202</v>
      </c>
      <c r="C59" s="391">
        <f>C39/1000</f>
        <v>12</v>
      </c>
      <c r="D59" s="391">
        <f t="shared" ref="D59:L59" si="33">D39/1000</f>
        <v>11</v>
      </c>
      <c r="E59" s="391">
        <f t="shared" si="33"/>
        <v>16</v>
      </c>
      <c r="F59" s="391">
        <f t="shared" si="33"/>
        <v>18</v>
      </c>
      <c r="G59" s="391">
        <f t="shared" si="33"/>
        <v>14</v>
      </c>
      <c r="H59" s="391">
        <f t="shared" si="33"/>
        <v>13</v>
      </c>
      <c r="I59" s="391">
        <f t="shared" si="33"/>
        <v>13</v>
      </c>
      <c r="J59" s="391">
        <f t="shared" si="33"/>
        <v>22</v>
      </c>
      <c r="K59" s="391">
        <f t="shared" si="33"/>
        <v>14</v>
      </c>
      <c r="L59" s="391">
        <f t="shared" si="33"/>
        <v>13</v>
      </c>
      <c r="M59" s="391">
        <f>M39/1000</f>
        <v>16</v>
      </c>
      <c r="N59" s="391">
        <f>N39/1000</f>
        <v>2</v>
      </c>
      <c r="O59" s="391">
        <f>O39/1000</f>
        <v>11</v>
      </c>
      <c r="P59" s="391">
        <f>P39/1000</f>
        <v>6</v>
      </c>
      <c r="Q59" s="391">
        <f>Q39/1000</f>
        <v>8</v>
      </c>
    </row>
    <row r="60" spans="1:25" s="296" customFormat="1" ht="15" customHeight="1">
      <c r="A60" s="390" t="s">
        <v>613</v>
      </c>
      <c r="B60" s="390" t="s">
        <v>608</v>
      </c>
      <c r="C60" s="391">
        <f t="shared" ref="C60:L60" si="34">C37/1000</f>
        <v>83</v>
      </c>
      <c r="D60" s="391">
        <f t="shared" si="34"/>
        <v>85</v>
      </c>
      <c r="E60" s="391">
        <f t="shared" si="34"/>
        <v>84</v>
      </c>
      <c r="F60" s="391">
        <f t="shared" si="34"/>
        <v>85</v>
      </c>
      <c r="G60" s="391">
        <f t="shared" si="34"/>
        <v>81</v>
      </c>
      <c r="H60" s="391">
        <f t="shared" si="34"/>
        <v>80</v>
      </c>
      <c r="I60" s="391">
        <f t="shared" si="34"/>
        <v>76</v>
      </c>
      <c r="J60" s="391">
        <f t="shared" si="34"/>
        <v>80</v>
      </c>
      <c r="K60" s="391">
        <f t="shared" si="34"/>
        <v>81</v>
      </c>
      <c r="L60" s="391">
        <f t="shared" si="34"/>
        <v>81</v>
      </c>
      <c r="M60" s="391">
        <f>M37/1000</f>
        <v>82</v>
      </c>
      <c r="N60" s="391">
        <f>N37/1000</f>
        <v>81</v>
      </c>
      <c r="O60" s="391">
        <f>O37/1000</f>
        <v>79</v>
      </c>
      <c r="P60" s="391">
        <f>P37/1000</f>
        <v>73</v>
      </c>
      <c r="Q60" s="391">
        <f>Q37/1000</f>
        <v>77</v>
      </c>
    </row>
    <row r="61" spans="1:25" s="296" customFormat="1" ht="15" customHeight="1">
      <c r="A61" s="390" t="s">
        <v>614</v>
      </c>
      <c r="B61" s="390" t="s">
        <v>609</v>
      </c>
      <c r="C61" s="391">
        <f t="shared" ref="C61:L61" si="35">C40/1000</f>
        <v>78</v>
      </c>
      <c r="D61" s="391">
        <f t="shared" si="35"/>
        <v>85</v>
      </c>
      <c r="E61" s="391">
        <f t="shared" si="35"/>
        <v>92</v>
      </c>
      <c r="F61" s="391">
        <f t="shared" si="35"/>
        <v>91</v>
      </c>
      <c r="G61" s="391">
        <f t="shared" si="35"/>
        <v>89</v>
      </c>
      <c r="H61" s="391">
        <f t="shared" si="35"/>
        <v>101</v>
      </c>
      <c r="I61" s="391">
        <f t="shared" si="35"/>
        <v>97</v>
      </c>
      <c r="J61" s="391">
        <f t="shared" si="35"/>
        <v>110</v>
      </c>
      <c r="K61" s="391">
        <f t="shared" si="35"/>
        <v>107</v>
      </c>
      <c r="L61" s="391">
        <f t="shared" si="35"/>
        <v>114</v>
      </c>
      <c r="M61" s="391">
        <f t="shared" ref="M61:O62" si="36">M40/1000</f>
        <v>112</v>
      </c>
      <c r="N61" s="391">
        <f t="shared" si="36"/>
        <v>110</v>
      </c>
      <c r="O61" s="391">
        <f t="shared" si="36"/>
        <v>122</v>
      </c>
      <c r="P61" s="391">
        <f t="shared" ref="P61:Q61" si="37">P40/1000</f>
        <v>104</v>
      </c>
      <c r="Q61" s="391">
        <f t="shared" si="37"/>
        <v>116</v>
      </c>
    </row>
    <row r="62" spans="1:25" s="296" customFormat="1" ht="15" customHeight="1">
      <c r="A62" s="390" t="s">
        <v>615</v>
      </c>
      <c r="B62" s="390" t="s">
        <v>610</v>
      </c>
      <c r="C62" s="391">
        <f t="shared" ref="C62:L62" si="38">C41/1000</f>
        <v>88</v>
      </c>
      <c r="D62" s="391">
        <f t="shared" si="38"/>
        <v>92</v>
      </c>
      <c r="E62" s="391">
        <f t="shared" si="38"/>
        <v>93</v>
      </c>
      <c r="F62" s="391">
        <f t="shared" si="38"/>
        <v>99</v>
      </c>
      <c r="G62" s="391">
        <f t="shared" si="38"/>
        <v>94</v>
      </c>
      <c r="H62" s="391">
        <f t="shared" si="38"/>
        <v>96</v>
      </c>
      <c r="I62" s="391">
        <f t="shared" si="38"/>
        <v>97</v>
      </c>
      <c r="J62" s="391">
        <f t="shared" si="38"/>
        <v>99</v>
      </c>
      <c r="K62" s="391">
        <f t="shared" si="38"/>
        <v>94</v>
      </c>
      <c r="L62" s="391">
        <f t="shared" si="38"/>
        <v>98</v>
      </c>
      <c r="M62" s="391">
        <f t="shared" si="36"/>
        <v>101</v>
      </c>
      <c r="N62" s="391">
        <f t="shared" si="36"/>
        <v>95</v>
      </c>
      <c r="O62" s="391">
        <f t="shared" si="36"/>
        <v>89</v>
      </c>
      <c r="P62" s="391">
        <f t="shared" ref="P62:Q62" si="39">P41/1000</f>
        <v>85</v>
      </c>
      <c r="Q62" s="391">
        <f t="shared" si="39"/>
        <v>100</v>
      </c>
    </row>
    <row r="63" spans="1:25" s="296" customFormat="1" ht="15" customHeight="1">
      <c r="A63" s="390" t="s">
        <v>616</v>
      </c>
      <c r="B63" s="390" t="s">
        <v>611</v>
      </c>
      <c r="C63" s="391">
        <f t="shared" ref="C63:L63" si="40">(C38+C48)/1000</f>
        <v>57</v>
      </c>
      <c r="D63" s="391">
        <f t="shared" si="40"/>
        <v>48</v>
      </c>
      <c r="E63" s="391">
        <f t="shared" si="40"/>
        <v>64</v>
      </c>
      <c r="F63" s="391">
        <f t="shared" si="40"/>
        <v>58</v>
      </c>
      <c r="G63" s="391">
        <f t="shared" si="40"/>
        <v>70</v>
      </c>
      <c r="H63" s="391">
        <f t="shared" si="40"/>
        <v>72</v>
      </c>
      <c r="I63" s="391">
        <f t="shared" si="40"/>
        <v>80</v>
      </c>
      <c r="J63" s="391">
        <f t="shared" si="40"/>
        <v>42</v>
      </c>
      <c r="K63" s="391">
        <f t="shared" si="40"/>
        <v>77</v>
      </c>
      <c r="L63" s="391">
        <f t="shared" si="40"/>
        <v>63</v>
      </c>
      <c r="M63" s="391">
        <f>(M38+M48)/1000-1</f>
        <v>75</v>
      </c>
      <c r="N63" s="391">
        <f>(N38+N48)/1000</f>
        <v>87</v>
      </c>
      <c r="O63" s="391">
        <f>(O38+O48)/1000</f>
        <v>64</v>
      </c>
      <c r="P63" s="391">
        <f>(P38+P48)/1000</f>
        <v>80</v>
      </c>
      <c r="Q63" s="391">
        <f>(Q38+Q48)/1000</f>
        <v>100</v>
      </c>
    </row>
    <row r="64" spans="1:25" s="296" customFormat="1" ht="15" customHeight="1">
      <c r="A64" s="390" t="s">
        <v>57</v>
      </c>
      <c r="B64" s="390" t="s">
        <v>612</v>
      </c>
      <c r="C64" s="391">
        <f t="shared" ref="C64:L64" si="41">C46/1000</f>
        <v>49</v>
      </c>
      <c r="D64" s="391">
        <f t="shared" si="41"/>
        <v>54</v>
      </c>
      <c r="E64" s="391">
        <f t="shared" si="41"/>
        <v>48</v>
      </c>
      <c r="F64" s="391">
        <f t="shared" si="41"/>
        <v>47</v>
      </c>
      <c r="G64" s="391">
        <f t="shared" si="41"/>
        <v>48</v>
      </c>
      <c r="H64" s="391">
        <f t="shared" si="41"/>
        <v>52</v>
      </c>
      <c r="I64" s="391">
        <f t="shared" si="41"/>
        <v>45</v>
      </c>
      <c r="J64" s="391">
        <f t="shared" si="41"/>
        <v>37</v>
      </c>
      <c r="K64" s="391">
        <f t="shared" si="41"/>
        <v>44</v>
      </c>
      <c r="L64" s="391">
        <f t="shared" si="41"/>
        <v>53</v>
      </c>
      <c r="M64" s="391">
        <f>M46/1000</f>
        <v>53</v>
      </c>
      <c r="N64" s="391">
        <f>N46/1000</f>
        <v>53</v>
      </c>
      <c r="O64" s="391">
        <f>O46/1000</f>
        <v>56</v>
      </c>
      <c r="P64" s="391">
        <f>P46/1000</f>
        <v>44</v>
      </c>
      <c r="Q64" s="391">
        <f>Q46/1000</f>
        <v>53</v>
      </c>
    </row>
    <row r="65" spans="1:17" s="296" customFormat="1" ht="15" customHeight="1">
      <c r="A65" s="390" t="s">
        <v>218</v>
      </c>
      <c r="B65" s="390" t="s">
        <v>45</v>
      </c>
      <c r="C65" s="391">
        <f>(C50+C43+C49)/1000+1</f>
        <v>24</v>
      </c>
      <c r="D65" s="391">
        <f>(D50+D43+D49)/1000+1</f>
        <v>30</v>
      </c>
      <c r="E65" s="391">
        <f>(E50+E43+E49)/1000-1</f>
        <v>32</v>
      </c>
      <c r="F65" s="391">
        <f>(F50+F43+F49)/1000+1</f>
        <v>25</v>
      </c>
      <c r="G65" s="391">
        <f>(G50+G43+G49)/1000+1</f>
        <v>29</v>
      </c>
      <c r="H65" s="391">
        <f>(H50+H43+H49)/1000-1</f>
        <v>24</v>
      </c>
      <c r="I65" s="391">
        <f>(I50+I43+I49)/1000-2</f>
        <v>23</v>
      </c>
      <c r="J65" s="391">
        <f t="shared" ref="J65:O65" si="42">(J50+J43+J49)/1000</f>
        <v>23</v>
      </c>
      <c r="K65" s="391">
        <f t="shared" si="42"/>
        <v>22</v>
      </c>
      <c r="L65" s="391">
        <f t="shared" si="42"/>
        <v>21</v>
      </c>
      <c r="M65" s="391">
        <f t="shared" si="42"/>
        <v>21</v>
      </c>
      <c r="N65" s="391">
        <f t="shared" si="42"/>
        <v>22</v>
      </c>
      <c r="O65" s="391">
        <f t="shared" si="42"/>
        <v>28</v>
      </c>
      <c r="P65" s="391">
        <f t="shared" ref="P65:Q65" si="43">(P50+P43+P49)/1000</f>
        <v>23</v>
      </c>
      <c r="Q65" s="391">
        <f t="shared" si="43"/>
        <v>19</v>
      </c>
    </row>
    <row r="66" spans="1:17" ht="15" customHeight="1">
      <c r="A66" s="393" t="s">
        <v>58</v>
      </c>
      <c r="B66" s="393" t="s">
        <v>43</v>
      </c>
      <c r="C66" s="394">
        <f>SUM(C56:C65)</f>
        <v>475</v>
      </c>
      <c r="D66" s="394">
        <f t="shared" ref="D66:M66" si="44">SUM(D56:D65)</f>
        <v>495</v>
      </c>
      <c r="E66" s="394">
        <f t="shared" si="44"/>
        <v>527</v>
      </c>
      <c r="F66" s="394">
        <f t="shared" si="44"/>
        <v>515</v>
      </c>
      <c r="G66" s="394">
        <f t="shared" si="44"/>
        <v>515</v>
      </c>
      <c r="H66" s="394">
        <f t="shared" si="44"/>
        <v>529</v>
      </c>
      <c r="I66" s="394">
        <f t="shared" si="44"/>
        <v>516</v>
      </c>
      <c r="J66" s="394">
        <f t="shared" si="44"/>
        <v>497</v>
      </c>
      <c r="K66" s="394">
        <f t="shared" si="44"/>
        <v>520</v>
      </c>
      <c r="L66" s="394">
        <f t="shared" si="44"/>
        <v>522</v>
      </c>
      <c r="M66" s="394">
        <f t="shared" si="44"/>
        <v>544</v>
      </c>
      <c r="N66" s="394">
        <f>SUM(N56:N65)</f>
        <v>542</v>
      </c>
      <c r="O66" s="394">
        <f>SUM(O56:O65)</f>
        <v>540</v>
      </c>
      <c r="P66" s="394">
        <f>SUM(P56:P65)</f>
        <v>492</v>
      </c>
      <c r="Q66" s="394">
        <f>SUM(Q56:Q65)</f>
        <v>552</v>
      </c>
    </row>
    <row r="67" spans="1:17" s="29" customFormat="1" ht="15" customHeight="1">
      <c r="C67" s="402"/>
      <c r="D67" s="402"/>
      <c r="E67" s="402"/>
      <c r="F67" s="402"/>
      <c r="G67" s="402"/>
      <c r="H67" s="402"/>
      <c r="I67" s="402"/>
      <c r="J67" s="402"/>
      <c r="K67" s="402"/>
      <c r="L67" s="402"/>
    </row>
    <row r="68" spans="1:17" ht="15" customHeight="1"/>
    <row r="69" spans="1:17" ht="15" customHeight="1"/>
    <row r="70" spans="1:17" ht="15" customHeight="1"/>
    <row r="71" spans="1:17" ht="15" customHeight="1"/>
    <row r="72" spans="1:17" ht="15" customHeight="1"/>
    <row r="73" spans="1:17" ht="15" customHeight="1"/>
    <row r="74" spans="1:17" ht="15" customHeight="1"/>
    <row r="75" spans="1:17" ht="15" customHeight="1"/>
    <row r="76" spans="1:17" ht="15" customHeight="1"/>
    <row r="77" spans="1:17" ht="15" customHeight="1"/>
    <row r="78" spans="1:17" ht="15" customHeight="1"/>
    <row r="79" spans="1:17" ht="15" customHeight="1"/>
    <row r="80" spans="1: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746490BF-9C44-4B41-8803-BEC9E453576A}" scale="78" showGridLines="0" fitToPage="1" showRuler="0" topLeftCell="B1">
      <selection activeCell="Q1" sqref="Q1:R1048576"/>
      <pageMargins left="0.75" right="0.75" top="1" bottom="1" header="0.5" footer="0.5"/>
      <pageSetup paperSize="9" scale="71" fitToHeight="0" orientation="landscape" r:id="rId1"/>
      <headerFooter alignWithMargins="0"/>
    </customSheetView>
    <customSheetView guid="{9AF4A83C-CF57-4B40-8A74-6A0EA6C2FE5C}" scale="70" showGridLines="0" fitToPage="1" showRuler="0" topLeftCell="A31">
      <selection activeCell="B81" sqref="B81"/>
      <pageMargins left="0.75" right="0.75" top="1" bottom="1" header="0.5" footer="0.5"/>
      <pageSetup paperSize="9" scale="71" fitToHeight="0" orientation="landscape" r:id="rId2"/>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3"/>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4"/>
      <headerFooter alignWithMargins="0"/>
    </customSheetView>
    <customSheetView guid="{8DA78CF1-615A-4626-9893-6751995631A4}" scale="78" showGridLines="0" fitToPage="1" showRuler="0" topLeftCell="H1">
      <selection activeCell="P21" sqref="O21:P21"/>
      <pageMargins left="0.75" right="0.75" top="1" bottom="1" header="0.5" footer="0.5"/>
      <pageSetup paperSize="9" scale="71" fitToHeight="0" orientation="landscape" r:id="rId5"/>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6"/>
      <headerFooter alignWithMargins="0"/>
    </customSheetView>
    <customSheetView guid="{687A4863-1825-4D63-B732-E76682E6DE4F}" scale="78" showGridLines="0" fitToPage="1" showRuler="0" topLeftCell="B1">
      <selection activeCell="Q1" sqref="Q1:R1048576"/>
      <pageMargins left="0.75" right="0.75" top="1" bottom="1" header="0.5" footer="0.5"/>
      <pageSetup paperSize="9" scale="71" fitToHeight="0" orientation="landscape" r:id="rId7"/>
      <headerFooter alignWithMargins="0"/>
    </customSheetView>
    <customSheetView guid="{12F8D032-8143-430B-8DFF-852E8796C402}" scale="78" showGridLines="0" fitToPage="1" showRuler="0" topLeftCell="B1">
      <selection activeCell="Q1" sqref="Q1:R1048576"/>
      <pageMargins left="0.75" right="0.75" top="1" bottom="1" header="0.5" footer="0.5"/>
      <pageSetup paperSize="9" scale="71" fitToHeight="0" orientation="landscape" r:id="rId8"/>
      <headerFooter alignWithMargins="0"/>
    </customSheetView>
  </customSheetViews>
  <pageMargins left="0.75" right="0.75" top="1" bottom="1" header="0.5" footer="0.5"/>
  <pageSetup paperSize="9" scale="71" fitToHeight="0" orientation="landscape" r:id="rId9"/>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showRuler="0" zoomScale="110" zoomScaleNormal="11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72" customWidth="1"/>
    <col min="3" max="14" width="13.42578125" style="72" customWidth="1"/>
    <col min="15" max="16" width="12.42578125" style="72" customWidth="1"/>
    <col min="17" max="17" width="10.85546875" style="72" bestFit="1" customWidth="1"/>
    <col min="18" max="16384" width="9.140625" style="72"/>
  </cols>
  <sheetData>
    <row r="1" spans="1:17"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623</v>
      </c>
      <c r="N1" s="79" t="s">
        <v>632</v>
      </c>
      <c r="O1" s="410" t="s">
        <v>670</v>
      </c>
      <c r="P1" s="422" t="s">
        <v>674</v>
      </c>
      <c r="Q1" s="444" t="s">
        <v>685</v>
      </c>
    </row>
    <row r="2" spans="1:17" ht="15" customHeight="1">
      <c r="A2" s="80" t="s">
        <v>228</v>
      </c>
      <c r="B2" s="75" t="s">
        <v>364</v>
      </c>
      <c r="C2" s="361">
        <v>-313223</v>
      </c>
      <c r="D2" s="361">
        <v>-317819</v>
      </c>
      <c r="E2" s="361">
        <v>-325457</v>
      </c>
      <c r="F2" s="361">
        <v>-336586</v>
      </c>
      <c r="G2" s="361">
        <v>-324869</v>
      </c>
      <c r="H2" s="361">
        <v>-336786</v>
      </c>
      <c r="I2" s="361">
        <v>-355258</v>
      </c>
      <c r="J2" s="361">
        <v>-387929</v>
      </c>
      <c r="K2" s="362">
        <v>-365099</v>
      </c>
      <c r="L2" s="362">
        <v>-373083</v>
      </c>
      <c r="M2" s="362">
        <v>-364128</v>
      </c>
      <c r="N2" s="362">
        <v>-373797</v>
      </c>
      <c r="O2" s="411">
        <v>-360903</v>
      </c>
      <c r="P2" s="411">
        <v>-277620</v>
      </c>
      <c r="Q2" s="445">
        <v>-330755</v>
      </c>
    </row>
    <row r="3" spans="1:17" ht="15" customHeight="1">
      <c r="A3" s="80" t="s">
        <v>232</v>
      </c>
      <c r="B3" s="75" t="s">
        <v>365</v>
      </c>
      <c r="C3" s="361">
        <v>-58065</v>
      </c>
      <c r="D3" s="361">
        <v>-55758</v>
      </c>
      <c r="E3" s="361">
        <v>-53343</v>
      </c>
      <c r="F3" s="361">
        <v>-49767</v>
      </c>
      <c r="G3" s="361">
        <v>-59367</v>
      </c>
      <c r="H3" s="361">
        <v>-58364</v>
      </c>
      <c r="I3" s="361">
        <v>-57479</v>
      </c>
      <c r="J3" s="361">
        <v>-58166</v>
      </c>
      <c r="K3" s="362">
        <v>-68093</v>
      </c>
      <c r="L3" s="362">
        <v>-64931</v>
      </c>
      <c r="M3" s="362">
        <v>-59348</v>
      </c>
      <c r="N3" s="362">
        <v>-48002</v>
      </c>
      <c r="O3" s="411">
        <v>-67574</v>
      </c>
      <c r="P3" s="411">
        <v>-50989</v>
      </c>
      <c r="Q3" s="445">
        <v>-57115</v>
      </c>
    </row>
    <row r="4" spans="1:17" ht="15" customHeight="1">
      <c r="A4" s="80" t="s">
        <v>635</v>
      </c>
      <c r="B4" s="75" t="s">
        <v>636</v>
      </c>
      <c r="C4" s="361"/>
      <c r="D4" s="361">
        <v>0</v>
      </c>
      <c r="E4" s="361">
        <v>0</v>
      </c>
      <c r="F4" s="361">
        <v>0</v>
      </c>
      <c r="G4" s="361">
        <v>0</v>
      </c>
      <c r="H4" s="361">
        <v>0</v>
      </c>
      <c r="I4" s="361">
        <v>0</v>
      </c>
      <c r="J4" s="361">
        <v>0</v>
      </c>
      <c r="K4" s="361">
        <v>0</v>
      </c>
      <c r="L4" s="361">
        <v>0</v>
      </c>
      <c r="M4" s="361">
        <v>0</v>
      </c>
      <c r="N4" s="362">
        <v>-1661</v>
      </c>
      <c r="O4" s="411">
        <v>-2389</v>
      </c>
      <c r="P4" s="411">
        <v>-2366</v>
      </c>
      <c r="Q4" s="445">
        <v>-2274</v>
      </c>
    </row>
    <row r="5" spans="1:17" ht="15" customHeight="1">
      <c r="A5" s="80" t="s">
        <v>229</v>
      </c>
      <c r="B5" s="75" t="s">
        <v>366</v>
      </c>
      <c r="C5" s="361">
        <v>-2480</v>
      </c>
      <c r="D5" s="361">
        <v>-5022</v>
      </c>
      <c r="E5" s="361">
        <v>-2827</v>
      </c>
      <c r="F5" s="361">
        <v>-8401</v>
      </c>
      <c r="G5" s="361">
        <v>-2877</v>
      </c>
      <c r="H5" s="361">
        <v>-4740</v>
      </c>
      <c r="I5" s="361">
        <v>-3271</v>
      </c>
      <c r="J5" s="361">
        <v>-9982</v>
      </c>
      <c r="K5" s="362">
        <v>-2527</v>
      </c>
      <c r="L5" s="362">
        <v>-4323</v>
      </c>
      <c r="M5" s="362">
        <v>-4051</v>
      </c>
      <c r="N5" s="362">
        <v>-8809</v>
      </c>
      <c r="O5" s="411">
        <v>-2388</v>
      </c>
      <c r="P5" s="411">
        <v>-94</v>
      </c>
      <c r="Q5" s="445">
        <v>-2080</v>
      </c>
    </row>
    <row r="6" spans="1:17" ht="15" customHeight="1">
      <c r="A6" s="80" t="s">
        <v>230</v>
      </c>
      <c r="B6" s="75" t="s">
        <v>367</v>
      </c>
      <c r="C6" s="361">
        <v>-8395</v>
      </c>
      <c r="D6" s="361">
        <v>-9900</v>
      </c>
      <c r="E6" s="361">
        <v>-8782</v>
      </c>
      <c r="F6" s="361">
        <v>-12628</v>
      </c>
      <c r="G6" s="361">
        <v>-8299</v>
      </c>
      <c r="H6" s="361">
        <v>-9594</v>
      </c>
      <c r="I6" s="361">
        <v>-9548</v>
      </c>
      <c r="J6" s="361">
        <v>-13044</v>
      </c>
      <c r="K6" s="362">
        <v>-8896</v>
      </c>
      <c r="L6" s="362">
        <v>-9476</v>
      </c>
      <c r="M6" s="362">
        <v>-9990</v>
      </c>
      <c r="N6" s="362">
        <v>-11297</v>
      </c>
      <c r="O6" s="411">
        <v>-8659</v>
      </c>
      <c r="P6" s="411">
        <v>-9083</v>
      </c>
      <c r="Q6" s="445">
        <v>-9122</v>
      </c>
    </row>
    <row r="7" spans="1:17" ht="15" customHeight="1">
      <c r="A7" s="80" t="s">
        <v>231</v>
      </c>
      <c r="B7" s="89" t="s">
        <v>368</v>
      </c>
      <c r="C7" s="361">
        <v>-624</v>
      </c>
      <c r="D7" s="361">
        <v>-620</v>
      </c>
      <c r="E7" s="361">
        <v>-625</v>
      </c>
      <c r="F7" s="361">
        <v>7705</v>
      </c>
      <c r="G7" s="361">
        <v>-579</v>
      </c>
      <c r="H7" s="361">
        <v>16487</v>
      </c>
      <c r="I7" s="361">
        <v>-205</v>
      </c>
      <c r="J7" s="361">
        <v>13428</v>
      </c>
      <c r="K7" s="362">
        <v>-5</v>
      </c>
      <c r="L7" s="362">
        <v>-4</v>
      </c>
      <c r="M7" s="362">
        <v>-115</v>
      </c>
      <c r="N7" s="362">
        <v>7687</v>
      </c>
      <c r="O7" s="411">
        <v>-138</v>
      </c>
      <c r="P7" s="411">
        <v>-412</v>
      </c>
      <c r="Q7" s="445">
        <v>-4</v>
      </c>
    </row>
    <row r="8" spans="1:17" ht="15" customHeight="1">
      <c r="A8" s="80" t="s">
        <v>233</v>
      </c>
      <c r="B8" s="75" t="s">
        <v>369</v>
      </c>
      <c r="C8" s="361">
        <v>0</v>
      </c>
      <c r="D8" s="361">
        <v>0</v>
      </c>
      <c r="E8" s="361">
        <v>0</v>
      </c>
      <c r="F8" s="361">
        <v>0</v>
      </c>
      <c r="G8" s="361">
        <v>0</v>
      </c>
      <c r="H8" s="361">
        <v>0</v>
      </c>
      <c r="I8" s="361">
        <v>0</v>
      </c>
      <c r="J8" s="361">
        <v>0</v>
      </c>
      <c r="K8" s="362">
        <v>-80000</v>
      </c>
      <c r="L8" s="362">
        <v>-6320</v>
      </c>
      <c r="M8" s="362">
        <v>-1860</v>
      </c>
      <c r="N8" s="362">
        <v>-11630</v>
      </c>
      <c r="O8" s="411">
        <v>-5612</v>
      </c>
      <c r="P8" s="411">
        <v>-5500</v>
      </c>
      <c r="Q8" s="445">
        <v>-4313</v>
      </c>
    </row>
    <row r="9" spans="1:17" s="2" customFormat="1" ht="15" customHeight="1">
      <c r="A9" s="94" t="s">
        <v>361</v>
      </c>
      <c r="B9" s="94" t="s">
        <v>370</v>
      </c>
      <c r="C9" s="194">
        <f t="shared" ref="C9:L9" si="0">SUM(C2:C8)</f>
        <v>-382787</v>
      </c>
      <c r="D9" s="194">
        <f t="shared" si="0"/>
        <v>-389119</v>
      </c>
      <c r="E9" s="194">
        <f t="shared" si="0"/>
        <v>-391034</v>
      </c>
      <c r="F9" s="194">
        <f t="shared" si="0"/>
        <v>-399677</v>
      </c>
      <c r="G9" s="194">
        <f t="shared" si="0"/>
        <v>-395991</v>
      </c>
      <c r="H9" s="194">
        <f t="shared" si="0"/>
        <v>-392997</v>
      </c>
      <c r="I9" s="194">
        <f t="shared" si="0"/>
        <v>-425761</v>
      </c>
      <c r="J9" s="194">
        <f t="shared" si="0"/>
        <v>-455693</v>
      </c>
      <c r="K9" s="363">
        <f t="shared" si="0"/>
        <v>-524620</v>
      </c>
      <c r="L9" s="363">
        <f t="shared" si="0"/>
        <v>-458137</v>
      </c>
      <c r="M9" s="363">
        <f>SUM(M2:M8)</f>
        <v>-439492</v>
      </c>
      <c r="N9" s="363">
        <f>SUM(N2:N8)</f>
        <v>-447509</v>
      </c>
      <c r="O9" s="412">
        <f>SUM(O2:O8)</f>
        <v>-447663</v>
      </c>
      <c r="P9" s="412">
        <f>SUM(P2:P8)</f>
        <v>-346064</v>
      </c>
      <c r="Q9" s="446">
        <f>SUM(Q2:Q8)</f>
        <v>-405663</v>
      </c>
    </row>
    <row r="10" spans="1:17" ht="15" customHeight="1">
      <c r="A10" s="81"/>
      <c r="B10" s="74"/>
    </row>
    <row r="11" spans="1:17" ht="15" customHeight="1">
      <c r="A11" s="359"/>
      <c r="B11" s="360"/>
    </row>
    <row r="12" spans="1:17" ht="15" customHeight="1" thickBot="1">
      <c r="A12" s="236" t="s">
        <v>360</v>
      </c>
      <c r="B12" s="236" t="s">
        <v>371</v>
      </c>
      <c r="C12" s="79" t="s">
        <v>115</v>
      </c>
      <c r="D12" s="79" t="s">
        <v>111</v>
      </c>
      <c r="E12" s="79" t="s">
        <v>116</v>
      </c>
      <c r="F12" s="79" t="s">
        <v>117</v>
      </c>
      <c r="G12" s="79" t="s">
        <v>118</v>
      </c>
      <c r="H12" s="79" t="s">
        <v>136</v>
      </c>
      <c r="I12" s="79" t="s">
        <v>137</v>
      </c>
      <c r="J12" s="79" t="s">
        <v>146</v>
      </c>
      <c r="K12" s="79" t="s">
        <v>155</v>
      </c>
      <c r="L12" s="79" t="s">
        <v>588</v>
      </c>
      <c r="M12" s="79" t="str">
        <f>M1</f>
        <v>III Q 2019</v>
      </c>
      <c r="N12" s="79" t="str">
        <f>N1</f>
        <v>IV Q 2019</v>
      </c>
      <c r="O12" s="410" t="str">
        <f>O1</f>
        <v>I Q 2020</v>
      </c>
      <c r="P12" s="410" t="str">
        <f>P1</f>
        <v>II Q 2020</v>
      </c>
      <c r="Q12" s="444" t="str">
        <f>Q1</f>
        <v>III Q 2020</v>
      </c>
    </row>
    <row r="13" spans="1:17" ht="15" customHeight="1">
      <c r="A13" s="80" t="s">
        <v>234</v>
      </c>
      <c r="B13" s="75" t="s">
        <v>377</v>
      </c>
      <c r="C13" s="76">
        <v>-12876</v>
      </c>
      <c r="D13" s="76">
        <v>-11748</v>
      </c>
      <c r="E13" s="76">
        <v>-14672</v>
      </c>
      <c r="F13" s="76">
        <v>-13615</v>
      </c>
      <c r="G13" s="76">
        <v>-12855</v>
      </c>
      <c r="H13" s="76">
        <v>-20043</v>
      </c>
      <c r="I13" s="76">
        <v>-15324</v>
      </c>
      <c r="J13" s="76">
        <v>-16474</v>
      </c>
      <c r="K13" s="261">
        <v>-15747</v>
      </c>
      <c r="L13" s="261">
        <v>-15742</v>
      </c>
      <c r="M13" s="261">
        <v>-14422</v>
      </c>
      <c r="N13" s="261">
        <v>-20634</v>
      </c>
      <c r="O13" s="416">
        <v>-17218</v>
      </c>
      <c r="P13" s="416">
        <v>-16581</v>
      </c>
      <c r="Q13" s="447">
        <v>-15476</v>
      </c>
    </row>
    <row r="14" spans="1:17" ht="15" customHeight="1">
      <c r="A14" s="80" t="s">
        <v>235</v>
      </c>
      <c r="B14" s="75" t="s">
        <v>378</v>
      </c>
      <c r="C14" s="76">
        <v>-54010</v>
      </c>
      <c r="D14" s="76">
        <v>-54373</v>
      </c>
      <c r="E14" s="76">
        <v>-54775</v>
      </c>
      <c r="F14" s="76">
        <v>-49889</v>
      </c>
      <c r="G14" s="76">
        <v>-60331</v>
      </c>
      <c r="H14" s="76">
        <v>-80520</v>
      </c>
      <c r="I14" s="76">
        <v>-75179</v>
      </c>
      <c r="J14" s="76">
        <v>-28406</v>
      </c>
      <c r="K14" s="261">
        <v>-77507</v>
      </c>
      <c r="L14" s="261">
        <v>-78060</v>
      </c>
      <c r="M14" s="261">
        <v>-80745</v>
      </c>
      <c r="N14" s="261">
        <v>-72028</v>
      </c>
      <c r="O14" s="416">
        <v>-82364</v>
      </c>
      <c r="P14" s="416">
        <v>-84587</v>
      </c>
      <c r="Q14" s="447">
        <v>-81851</v>
      </c>
    </row>
    <row r="15" spans="1:17" ht="15" customHeight="1">
      <c r="A15" s="80" t="s">
        <v>236</v>
      </c>
      <c r="B15" s="75" t="s">
        <v>653</v>
      </c>
      <c r="C15" s="76">
        <v>-13314</v>
      </c>
      <c r="D15" s="76">
        <v>-11378</v>
      </c>
      <c r="E15" s="76">
        <v>-13908</v>
      </c>
      <c r="F15" s="76">
        <v>-26974</v>
      </c>
      <c r="G15" s="76">
        <v>-18862</v>
      </c>
      <c r="H15" s="76">
        <v>-23433</v>
      </c>
      <c r="I15" s="76">
        <v>-20063</v>
      </c>
      <c r="J15" s="76">
        <v>-27315</v>
      </c>
      <c r="K15" s="261">
        <v>-14522</v>
      </c>
      <c r="L15" s="261">
        <v>-21059</v>
      </c>
      <c r="M15" s="261">
        <v>-22522</v>
      </c>
      <c r="N15" s="261">
        <v>-14322</v>
      </c>
      <c r="O15" s="416">
        <v>-15713</v>
      </c>
      <c r="P15" s="416">
        <v>-20785</v>
      </c>
      <c r="Q15" s="447">
        <v>-22874</v>
      </c>
    </row>
    <row r="16" spans="1:17" ht="15" customHeight="1">
      <c r="A16" s="80" t="s">
        <v>237</v>
      </c>
      <c r="B16" s="75" t="s">
        <v>379</v>
      </c>
      <c r="C16" s="76">
        <v>-8126</v>
      </c>
      <c r="D16" s="76">
        <v>-8131</v>
      </c>
      <c r="E16" s="76">
        <v>-7509</v>
      </c>
      <c r="F16" s="76">
        <v>-9821</v>
      </c>
      <c r="G16" s="76">
        <v>-8507</v>
      </c>
      <c r="H16" s="76">
        <v>-9020</v>
      </c>
      <c r="I16" s="76">
        <v>-7254</v>
      </c>
      <c r="J16" s="76">
        <v>-12496</v>
      </c>
      <c r="K16" s="261">
        <v>-9635</v>
      </c>
      <c r="L16" s="261">
        <v>-10536</v>
      </c>
      <c r="M16" s="261">
        <v>-10717</v>
      </c>
      <c r="N16" s="261">
        <v>-8258</v>
      </c>
      <c r="O16" s="416">
        <v>-9171</v>
      </c>
      <c r="P16" s="416">
        <v>-11399</v>
      </c>
      <c r="Q16" s="447">
        <v>-10036</v>
      </c>
    </row>
    <row r="17" spans="1:17" ht="15" customHeight="1">
      <c r="A17" s="80" t="s">
        <v>238</v>
      </c>
      <c r="B17" s="75" t="s">
        <v>380</v>
      </c>
      <c r="C17" s="76">
        <v>-3587</v>
      </c>
      <c r="D17" s="76">
        <v>-3087</v>
      </c>
      <c r="E17" s="76">
        <v>-3900</v>
      </c>
      <c r="F17" s="76">
        <v>-3563</v>
      </c>
      <c r="G17" s="76">
        <v>-10808</v>
      </c>
      <c r="H17" s="76">
        <v>-7629</v>
      </c>
      <c r="I17" s="76">
        <v>-7325</v>
      </c>
      <c r="J17" s="76">
        <v>1587</v>
      </c>
      <c r="K17" s="261">
        <v>-958</v>
      </c>
      <c r="L17" s="261">
        <v>-4770</v>
      </c>
      <c r="M17" s="261">
        <v>-6920</v>
      </c>
      <c r="N17" s="261">
        <v>-1948</v>
      </c>
      <c r="O17" s="416">
        <v>-3114</v>
      </c>
      <c r="P17" s="416">
        <v>-1153</v>
      </c>
      <c r="Q17" s="447">
        <v>-1194</v>
      </c>
    </row>
    <row r="18" spans="1:17" ht="15" customHeight="1">
      <c r="A18" s="80" t="s">
        <v>372</v>
      </c>
      <c r="B18" s="75" t="s">
        <v>381</v>
      </c>
      <c r="C18" s="76">
        <v>-20821</v>
      </c>
      <c r="D18" s="76">
        <v>-20231</v>
      </c>
      <c r="E18" s="76">
        <v>-23224</v>
      </c>
      <c r="F18" s="76">
        <v>-40340</v>
      </c>
      <c r="G18" s="76">
        <v>-36102</v>
      </c>
      <c r="H18" s="76">
        <v>-37999</v>
      </c>
      <c r="I18" s="76">
        <v>-31530</v>
      </c>
      <c r="J18" s="76">
        <v>-47374</v>
      </c>
      <c r="K18" s="261">
        <v>-40571</v>
      </c>
      <c r="L18" s="261">
        <v>-45574</v>
      </c>
      <c r="M18" s="261">
        <v>-41814</v>
      </c>
      <c r="N18" s="261">
        <v>-36375</v>
      </c>
      <c r="O18" s="416">
        <v>-39040</v>
      </c>
      <c r="P18" s="416">
        <v>-34056</v>
      </c>
      <c r="Q18" s="447">
        <v>-35076</v>
      </c>
    </row>
    <row r="19" spans="1:17" ht="15" customHeight="1">
      <c r="A19" s="80" t="s">
        <v>600</v>
      </c>
      <c r="B19" s="75" t="s">
        <v>382</v>
      </c>
      <c r="C19" s="76">
        <v>-6765</v>
      </c>
      <c r="D19" s="76">
        <v>-7098</v>
      </c>
      <c r="E19" s="76">
        <v>-7602</v>
      </c>
      <c r="F19" s="76">
        <v>-3821</v>
      </c>
      <c r="G19" s="76">
        <v>-7083</v>
      </c>
      <c r="H19" s="76">
        <v>-7698</v>
      </c>
      <c r="I19" s="76">
        <v>-6726</v>
      </c>
      <c r="J19" s="76">
        <v>-5849</v>
      </c>
      <c r="K19" s="261">
        <v>-7380</v>
      </c>
      <c r="L19" s="261">
        <v>-7650</v>
      </c>
      <c r="M19" s="261">
        <v>-7514</v>
      </c>
      <c r="N19" s="261">
        <v>-3184</v>
      </c>
      <c r="O19" s="416">
        <v>-5693</v>
      </c>
      <c r="P19" s="416">
        <v>-6815</v>
      </c>
      <c r="Q19" s="447">
        <v>-6187</v>
      </c>
    </row>
    <row r="20" spans="1:17" s="73" customFormat="1" ht="15" customHeight="1">
      <c r="A20" s="80" t="s">
        <v>373</v>
      </c>
      <c r="B20" s="246" t="s">
        <v>383</v>
      </c>
      <c r="C20" s="88">
        <v>-86295</v>
      </c>
      <c r="D20" s="88">
        <v>-87668</v>
      </c>
      <c r="E20" s="88">
        <v>-81112</v>
      </c>
      <c r="F20" s="88">
        <v>-93215</v>
      </c>
      <c r="G20" s="88">
        <v>-84167</v>
      </c>
      <c r="H20" s="88">
        <v>-84204</v>
      </c>
      <c r="I20" s="88">
        <v>-84653</v>
      </c>
      <c r="J20" s="88">
        <v>-93181</v>
      </c>
      <c r="K20" s="261">
        <v>-49625</v>
      </c>
      <c r="L20" s="261">
        <v>-34252</v>
      </c>
      <c r="M20" s="261">
        <v>-32849</v>
      </c>
      <c r="N20" s="261">
        <v>-12117</v>
      </c>
      <c r="O20" s="416">
        <v>-30257</v>
      </c>
      <c r="P20" s="416">
        <v>-38078</v>
      </c>
      <c r="Q20" s="447">
        <v>-31078</v>
      </c>
    </row>
    <row r="21" spans="1:17" ht="30" customHeight="1">
      <c r="A21" s="364" t="s">
        <v>239</v>
      </c>
      <c r="B21" s="89" t="s">
        <v>384</v>
      </c>
      <c r="C21" s="361">
        <v>-105152</v>
      </c>
      <c r="D21" s="361">
        <v>-70153</v>
      </c>
      <c r="E21" s="361">
        <v>-24541</v>
      </c>
      <c r="F21" s="361">
        <v>-24322</v>
      </c>
      <c r="G21" s="361">
        <v>-163630</v>
      </c>
      <c r="H21" s="361">
        <v>-3351</v>
      </c>
      <c r="I21" s="361">
        <v>-24742</v>
      </c>
      <c r="J21" s="361">
        <v>-28093</v>
      </c>
      <c r="K21" s="362">
        <v>-227995</v>
      </c>
      <c r="L21" s="362">
        <v>-29111</v>
      </c>
      <c r="M21" s="362">
        <v>-28041</v>
      </c>
      <c r="N21" s="362">
        <v>-26053</v>
      </c>
      <c r="O21" s="411">
        <v>-294897</v>
      </c>
      <c r="P21" s="411">
        <v>-44432</v>
      </c>
      <c r="Q21" s="445">
        <v>-49562</v>
      </c>
    </row>
    <row r="22" spans="1:17" ht="15" customHeight="1">
      <c r="A22" s="80" t="s">
        <v>240</v>
      </c>
      <c r="B22" s="75" t="s">
        <v>385</v>
      </c>
      <c r="C22" s="76">
        <v>-30598</v>
      </c>
      <c r="D22" s="76">
        <v>-32056</v>
      </c>
      <c r="E22" s="76">
        <v>-25584</v>
      </c>
      <c r="F22" s="76">
        <v>-45668</v>
      </c>
      <c r="G22" s="76">
        <v>-25464</v>
      </c>
      <c r="H22" s="76">
        <v>-43050</v>
      </c>
      <c r="I22" s="76">
        <v>-59360</v>
      </c>
      <c r="J22" s="76">
        <v>-61444</v>
      </c>
      <c r="K22" s="261">
        <v>-34702</v>
      </c>
      <c r="L22" s="261">
        <v>-43143</v>
      </c>
      <c r="M22" s="261">
        <v>-40751</v>
      </c>
      <c r="N22" s="261">
        <v>-65730</v>
      </c>
      <c r="O22" s="416">
        <v>-25493</v>
      </c>
      <c r="P22" s="416">
        <v>-18615</v>
      </c>
      <c r="Q22" s="447">
        <v>-23300</v>
      </c>
    </row>
    <row r="23" spans="1:17" ht="15" customHeight="1">
      <c r="A23" s="80" t="s">
        <v>374</v>
      </c>
      <c r="B23" s="75" t="s">
        <v>386</v>
      </c>
      <c r="C23" s="76">
        <v>-16399</v>
      </c>
      <c r="D23" s="76">
        <v>-16733</v>
      </c>
      <c r="E23" s="76">
        <v>-16052</v>
      </c>
      <c r="F23" s="76">
        <v>-18172</v>
      </c>
      <c r="G23" s="76">
        <v>-15241</v>
      </c>
      <c r="H23" s="76">
        <v>-16955</v>
      </c>
      <c r="I23" s="76">
        <v>-17067</v>
      </c>
      <c r="J23" s="76">
        <v>-22200</v>
      </c>
      <c r="K23" s="261">
        <v>-19188</v>
      </c>
      <c r="L23" s="261">
        <v>-14261</v>
      </c>
      <c r="M23" s="261">
        <v>-19287</v>
      </c>
      <c r="N23" s="261">
        <v>-14252</v>
      </c>
      <c r="O23" s="416">
        <v>-13939</v>
      </c>
      <c r="P23" s="416">
        <v>-14580</v>
      </c>
      <c r="Q23" s="447">
        <v>-14678</v>
      </c>
    </row>
    <row r="24" spans="1:17" ht="15" customHeight="1">
      <c r="A24" s="80" t="s">
        <v>241</v>
      </c>
      <c r="B24" s="75" t="s">
        <v>387</v>
      </c>
      <c r="C24" s="76">
        <v>-3609</v>
      </c>
      <c r="D24" s="76">
        <v>-3721</v>
      </c>
      <c r="E24" s="76">
        <v>-3764</v>
      </c>
      <c r="F24" s="76">
        <v>-1364</v>
      </c>
      <c r="G24" s="76">
        <v>-3562</v>
      </c>
      <c r="H24" s="76">
        <v>-3482</v>
      </c>
      <c r="I24" s="76">
        <v>-3492</v>
      </c>
      <c r="J24" s="76">
        <v>87</v>
      </c>
      <c r="K24" s="261">
        <v>-3320</v>
      </c>
      <c r="L24" s="261">
        <v>-3128</v>
      </c>
      <c r="M24" s="261">
        <v>-2985</v>
      </c>
      <c r="N24" s="261">
        <v>262</v>
      </c>
      <c r="O24" s="416">
        <v>-2877</v>
      </c>
      <c r="P24" s="416">
        <v>-2752</v>
      </c>
      <c r="Q24" s="447">
        <v>-2808</v>
      </c>
    </row>
    <row r="25" spans="1:17" ht="15" customHeight="1">
      <c r="A25" s="82" t="s">
        <v>375</v>
      </c>
      <c r="B25" s="77" t="s">
        <v>388</v>
      </c>
      <c r="C25" s="76">
        <v>-7501</v>
      </c>
      <c r="D25" s="76">
        <v>-6286</v>
      </c>
      <c r="E25" s="76">
        <v>-6667</v>
      </c>
      <c r="F25" s="76">
        <v>-8026</v>
      </c>
      <c r="G25" s="76">
        <v>-7172</v>
      </c>
      <c r="H25" s="76">
        <v>-8347</v>
      </c>
      <c r="I25" s="76">
        <v>-7630</v>
      </c>
      <c r="J25" s="76">
        <v>-7888</v>
      </c>
      <c r="K25" s="261">
        <v>-8888</v>
      </c>
      <c r="L25" s="261">
        <v>-9065</v>
      </c>
      <c r="M25" s="261">
        <v>-8897</v>
      </c>
      <c r="N25" s="261">
        <v>-8841</v>
      </c>
      <c r="O25" s="416">
        <v>-6186</v>
      </c>
      <c r="P25" s="416">
        <v>-6213</v>
      </c>
      <c r="Q25" s="447">
        <v>-7362</v>
      </c>
    </row>
    <row r="26" spans="1:17" ht="15" customHeight="1">
      <c r="A26" s="82" t="s">
        <v>376</v>
      </c>
      <c r="B26" s="77" t="s">
        <v>389</v>
      </c>
      <c r="C26" s="76">
        <v>-6104</v>
      </c>
      <c r="D26" s="76">
        <v>-5833</v>
      </c>
      <c r="E26" s="76">
        <v>-6904</v>
      </c>
      <c r="F26" s="76">
        <v>-8439</v>
      </c>
      <c r="G26" s="76">
        <v>-6192</v>
      </c>
      <c r="H26" s="76">
        <v>-5445</v>
      </c>
      <c r="I26" s="76">
        <v>-8149</v>
      </c>
      <c r="J26" s="76">
        <v>-12923</v>
      </c>
      <c r="K26" s="261">
        <v>-7921</v>
      </c>
      <c r="L26" s="261">
        <v>-5231</v>
      </c>
      <c r="M26" s="261">
        <v>-7552</v>
      </c>
      <c r="N26" s="261">
        <v>-6576</v>
      </c>
      <c r="O26" s="416">
        <v>-5723</v>
      </c>
      <c r="P26" s="416">
        <v>-5575</v>
      </c>
      <c r="Q26" s="447">
        <v>-5476</v>
      </c>
    </row>
    <row r="27" spans="1:17" s="73" customFormat="1" ht="15" customHeight="1">
      <c r="A27" s="82" t="s">
        <v>275</v>
      </c>
      <c r="B27" s="87" t="s">
        <v>300</v>
      </c>
      <c r="C27" s="88">
        <v>-5766</v>
      </c>
      <c r="D27" s="88">
        <v>-6472</v>
      </c>
      <c r="E27" s="88">
        <v>-5118</v>
      </c>
      <c r="F27" s="88">
        <v>-8363</v>
      </c>
      <c r="G27" s="88">
        <v>-6487</v>
      </c>
      <c r="H27" s="88">
        <v>-7240</v>
      </c>
      <c r="I27" s="88">
        <v>-6199</v>
      </c>
      <c r="J27" s="88">
        <v>-10775</v>
      </c>
      <c r="K27" s="261">
        <v>-3940</v>
      </c>
      <c r="L27" s="261">
        <v>-8477</v>
      </c>
      <c r="M27" s="261">
        <v>-7692</v>
      </c>
      <c r="N27" s="261">
        <v>-11418</v>
      </c>
      <c r="O27" s="416">
        <v>-6292</v>
      </c>
      <c r="P27" s="416">
        <v>-2864</v>
      </c>
      <c r="Q27" s="447">
        <v>-2419</v>
      </c>
    </row>
    <row r="28" spans="1:17" ht="15" customHeight="1">
      <c r="A28" s="80" t="s">
        <v>243</v>
      </c>
      <c r="B28" s="75" t="s">
        <v>390</v>
      </c>
      <c r="C28" s="76">
        <v>0</v>
      </c>
      <c r="D28" s="76">
        <v>0</v>
      </c>
      <c r="E28" s="76">
        <v>0</v>
      </c>
      <c r="F28" s="76">
        <v>0</v>
      </c>
      <c r="G28" s="76">
        <v>0</v>
      </c>
      <c r="H28" s="76">
        <v>0</v>
      </c>
      <c r="I28" s="76">
        <v>0</v>
      </c>
      <c r="J28" s="76">
        <v>0</v>
      </c>
      <c r="K28" s="261">
        <v>-1951</v>
      </c>
      <c r="L28" s="261">
        <v>-9568</v>
      </c>
      <c r="M28" s="261">
        <v>-4614</v>
      </c>
      <c r="N28" s="261">
        <v>-4542</v>
      </c>
      <c r="O28" s="413">
        <f>-2202-999-151+1</f>
        <v>-3351</v>
      </c>
      <c r="P28" s="413">
        <v>-3029</v>
      </c>
      <c r="Q28" s="447">
        <v>-2982</v>
      </c>
    </row>
    <row r="29" spans="1:17" ht="15" customHeight="1">
      <c r="A29" s="271" t="s">
        <v>601</v>
      </c>
      <c r="B29" s="75" t="s">
        <v>602</v>
      </c>
      <c r="C29" s="76"/>
      <c r="D29" s="76"/>
      <c r="E29" s="76"/>
      <c r="F29" s="76"/>
      <c r="G29" s="76"/>
      <c r="H29" s="76"/>
      <c r="I29" s="76"/>
      <c r="J29" s="76"/>
      <c r="K29" s="261">
        <v>-8389</v>
      </c>
      <c r="L29" s="261">
        <v>-15437</v>
      </c>
      <c r="M29" s="261">
        <v>-12397</v>
      </c>
      <c r="N29" s="261">
        <v>-13436</v>
      </c>
      <c r="O29" s="416">
        <v>-12693</v>
      </c>
      <c r="P29" s="416">
        <v>-9437</v>
      </c>
      <c r="Q29" s="447">
        <v>-11189</v>
      </c>
    </row>
    <row r="30" spans="1:17" ht="15" customHeight="1">
      <c r="A30" s="268"/>
      <c r="B30" s="269"/>
      <c r="C30" s="270"/>
      <c r="D30" s="270"/>
      <c r="E30" s="270"/>
      <c r="F30" s="270"/>
      <c r="G30" s="270"/>
      <c r="H30" s="270"/>
      <c r="I30" s="270"/>
      <c r="J30" s="270"/>
      <c r="K30" s="264"/>
      <c r="L30" s="264"/>
      <c r="M30" s="264"/>
      <c r="N30" s="264"/>
      <c r="O30" s="414"/>
      <c r="P30" s="414"/>
      <c r="Q30" s="448"/>
    </row>
    <row r="31" spans="1:17" s="2" customFormat="1" ht="15.75">
      <c r="A31" s="94" t="s">
        <v>362</v>
      </c>
      <c r="B31" s="94" t="s">
        <v>654</v>
      </c>
      <c r="C31" s="259">
        <f t="shared" ref="C31:J31" si="1">SUM(C13:C28)</f>
        <v>-380923</v>
      </c>
      <c r="D31" s="259">
        <f t="shared" si="1"/>
        <v>-344968</v>
      </c>
      <c r="E31" s="259">
        <f t="shared" si="1"/>
        <v>-295332</v>
      </c>
      <c r="F31" s="259">
        <f t="shared" si="1"/>
        <v>-355592</v>
      </c>
      <c r="G31" s="259">
        <f t="shared" si="1"/>
        <v>-466463</v>
      </c>
      <c r="H31" s="259">
        <f t="shared" si="1"/>
        <v>-358416</v>
      </c>
      <c r="I31" s="259">
        <f t="shared" si="1"/>
        <v>-374693</v>
      </c>
      <c r="J31" s="259">
        <f t="shared" si="1"/>
        <v>-372744</v>
      </c>
      <c r="K31" s="263">
        <f t="shared" ref="K31:P31" si="2">SUM(K13:K29)</f>
        <v>-532239</v>
      </c>
      <c r="L31" s="263">
        <f t="shared" si="2"/>
        <v>-355064</v>
      </c>
      <c r="M31" s="263">
        <f t="shared" si="2"/>
        <v>-349719</v>
      </c>
      <c r="N31" s="263">
        <f t="shared" si="2"/>
        <v>-319452</v>
      </c>
      <c r="O31" s="415">
        <f t="shared" si="2"/>
        <v>-574021</v>
      </c>
      <c r="P31" s="415">
        <f t="shared" si="2"/>
        <v>-320951</v>
      </c>
      <c r="Q31" s="437">
        <f>SUM(Q13:Q29)</f>
        <v>-323548</v>
      </c>
    </row>
    <row r="32" spans="1:17" s="96" customFormat="1">
      <c r="K32" s="262"/>
      <c r="L32" s="272"/>
      <c r="M32" s="272"/>
      <c r="N32" s="272"/>
      <c r="O32" s="419"/>
      <c r="P32" s="419"/>
      <c r="Q32" s="419"/>
    </row>
    <row r="33" spans="1:18">
      <c r="A33" s="258" t="s">
        <v>589</v>
      </c>
      <c r="B33" s="258" t="s">
        <v>590</v>
      </c>
      <c r="C33" s="259">
        <f t="shared" ref="C33:J33" si="3">SUM(C34:C35)</f>
        <v>-101987</v>
      </c>
      <c r="D33" s="259">
        <f t="shared" si="3"/>
        <v>-66974</v>
      </c>
      <c r="E33" s="259">
        <f t="shared" si="3"/>
        <v>-21058</v>
      </c>
      <c r="F33" s="259">
        <f t="shared" si="3"/>
        <v>-20942</v>
      </c>
      <c r="G33" s="259">
        <f t="shared" si="3"/>
        <v>-160255</v>
      </c>
      <c r="H33" s="259">
        <f t="shared" si="3"/>
        <v>34</v>
      </c>
      <c r="I33" s="259">
        <f t="shared" si="3"/>
        <v>-21086</v>
      </c>
      <c r="J33" s="259">
        <f t="shared" si="3"/>
        <v>-21506</v>
      </c>
      <c r="K33" s="263">
        <f t="shared" ref="K33:P33" si="4">SUM(K34:K35)</f>
        <v>-220604</v>
      </c>
      <c r="L33" s="263">
        <f t="shared" si="4"/>
        <v>-20746</v>
      </c>
      <c r="M33" s="263">
        <f t="shared" si="4"/>
        <v>-20802</v>
      </c>
      <c r="N33" s="263">
        <f t="shared" si="4"/>
        <v>-20607</v>
      </c>
      <c r="O33" s="415">
        <f t="shared" si="4"/>
        <v>-287624</v>
      </c>
      <c r="P33" s="415">
        <f t="shared" si="4"/>
        <v>-40392</v>
      </c>
      <c r="Q33" s="437">
        <f>SUM(Q34:Q35)</f>
        <v>-41483</v>
      </c>
      <c r="R33" s="423"/>
    </row>
    <row r="34" spans="1:18">
      <c r="A34" s="260" t="s">
        <v>591</v>
      </c>
      <c r="B34" s="260" t="s">
        <v>592</v>
      </c>
      <c r="C34" s="88">
        <v>-77117</v>
      </c>
      <c r="D34" s="88">
        <v>-49836</v>
      </c>
      <c r="E34" s="88">
        <v>0</v>
      </c>
      <c r="F34" s="88">
        <v>0</v>
      </c>
      <c r="G34" s="88">
        <v>-132329</v>
      </c>
      <c r="H34" s="88">
        <v>27797</v>
      </c>
      <c r="I34" s="88">
        <v>7500</v>
      </c>
      <c r="J34" s="88">
        <v>7500</v>
      </c>
      <c r="K34" s="261">
        <v>-199304</v>
      </c>
      <c r="L34" s="281">
        <v>0</v>
      </c>
      <c r="M34" s="281">
        <v>-9</v>
      </c>
      <c r="N34" s="281">
        <v>0</v>
      </c>
      <c r="O34" s="418">
        <v>-247990</v>
      </c>
      <c r="P34" s="418">
        <v>792</v>
      </c>
      <c r="Q34" s="449">
        <v>0</v>
      </c>
      <c r="R34" s="423"/>
    </row>
    <row r="35" spans="1:18">
      <c r="A35" s="260" t="s">
        <v>593</v>
      </c>
      <c r="B35" s="260" t="s">
        <v>594</v>
      </c>
      <c r="C35" s="88">
        <v>-24870</v>
      </c>
      <c r="D35" s="88">
        <v>-17138</v>
      </c>
      <c r="E35" s="88">
        <v>-21058</v>
      </c>
      <c r="F35" s="88">
        <v>-20942</v>
      </c>
      <c r="G35" s="88">
        <v>-27926</v>
      </c>
      <c r="H35" s="88">
        <v>-27763</v>
      </c>
      <c r="I35" s="88">
        <v>-28586</v>
      </c>
      <c r="J35" s="88">
        <v>-29006</v>
      </c>
      <c r="K35" s="261">
        <v>-21300</v>
      </c>
      <c r="L35" s="261">
        <f>-42046-K35</f>
        <v>-20746</v>
      </c>
      <c r="M35" s="261">
        <v>-20793</v>
      </c>
      <c r="N35" s="261">
        <v>-20607</v>
      </c>
      <c r="O35" s="413">
        <f>-39633648.42/1000</f>
        <v>-39634</v>
      </c>
      <c r="P35" s="418">
        <v>-41184</v>
      </c>
      <c r="Q35" s="449">
        <v>-41483</v>
      </c>
      <c r="R35" s="423"/>
    </row>
    <row r="36" spans="1:18">
      <c r="C36" s="6"/>
      <c r="D36" s="6"/>
      <c r="E36" s="6"/>
      <c r="F36" s="6"/>
      <c r="G36" s="6"/>
      <c r="H36" s="6"/>
      <c r="I36" s="6"/>
      <c r="J36" s="6"/>
      <c r="K36" s="6"/>
      <c r="L36" s="6"/>
      <c r="M36" s="6"/>
      <c r="N36" s="6"/>
      <c r="O36" s="409"/>
      <c r="P36" s="409"/>
      <c r="Q36" s="450"/>
    </row>
    <row r="37" spans="1:18">
      <c r="C37" s="6"/>
      <c r="D37" s="6"/>
      <c r="E37" s="6"/>
      <c r="F37" s="6"/>
      <c r="G37" s="6"/>
      <c r="H37" s="6"/>
      <c r="I37" s="6"/>
      <c r="J37" s="6"/>
      <c r="K37" s="6"/>
      <c r="L37" s="6"/>
      <c r="M37" s="6"/>
      <c r="N37" s="6"/>
      <c r="O37" s="409"/>
      <c r="P37" s="409"/>
      <c r="Q37" s="450"/>
    </row>
    <row r="38" spans="1:18">
      <c r="O38" s="417"/>
      <c r="P38" s="417"/>
      <c r="Q38" s="417"/>
    </row>
  </sheetData>
  <customSheetViews>
    <customSheetView guid="{746490BF-9C44-4B41-8803-BEC9E453576A}" scale="110" showGridLines="0" fitToPage="1" showRuler="0">
      <pane xSplit="2" ySplit="1" topLeftCell="C2" activePane="bottomRight" state="frozen"/>
      <selection pane="bottomRight" activeCell="C2" sqref="C2"/>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9AF4A83C-CF57-4B40-8A74-6A0EA6C2FE5C}" scale="70" fitToPage="1" showRuler="0">
      <pane xSplit="2" topLeftCell="C1" activePane="topRight" state="frozen"/>
      <selection pane="topRight" activeCell="N31" activeCellId="1" sqref="N9 N31"/>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2"/>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8DA78CF1-615A-4626-9893-6751995631A4}" scale="70" showGridLines="0" fitToPage="1" showRuler="0" topLeftCell="A10">
      <pane xSplit="1" topLeftCell="N1" activePane="topRight" state="frozen"/>
      <selection pane="topRight" activeCell="V17" sqref="V1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7" width="13.42578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623</v>
      </c>
      <c r="N2" s="40" t="s">
        <v>632</v>
      </c>
      <c r="O2" s="40" t="s">
        <v>670</v>
      </c>
      <c r="P2" s="40" t="s">
        <v>674</v>
      </c>
      <c r="Q2" s="40" t="s">
        <v>685</v>
      </c>
      <c r="R2" s="92"/>
      <c r="S2" s="92"/>
      <c r="T2" s="92"/>
      <c r="U2" s="92"/>
      <c r="V2" s="92"/>
      <c r="W2" s="92"/>
      <c r="X2" s="92"/>
      <c r="Y2" s="92"/>
    </row>
    <row r="3" spans="1:25">
      <c r="A3" s="32" t="s">
        <v>404</v>
      </c>
      <c r="B3" s="32" t="s">
        <v>671</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row>
    <row r="4" spans="1:25" ht="23.45" customHeight="1">
      <c r="A4" s="33" t="s">
        <v>405</v>
      </c>
      <c r="B4" s="183" t="s">
        <v>668</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row>
    <row r="5" spans="1:25" ht="15" customHeight="1">
      <c r="A5" s="33" t="s">
        <v>406</v>
      </c>
      <c r="B5" s="183" t="s">
        <v>407</v>
      </c>
      <c r="C5" s="38">
        <v>3356</v>
      </c>
      <c r="D5" s="38">
        <v>697</v>
      </c>
      <c r="E5" s="38">
        <v>2583</v>
      </c>
      <c r="F5" s="38">
        <v>-2371</v>
      </c>
      <c r="G5" s="38" t="s">
        <v>554</v>
      </c>
      <c r="H5" s="38" t="s">
        <v>554</v>
      </c>
      <c r="I5" s="38" t="s">
        <v>554</v>
      </c>
      <c r="J5" s="38" t="s">
        <v>554</v>
      </c>
      <c r="K5" s="42" t="s">
        <v>554</v>
      </c>
      <c r="L5" s="42" t="s">
        <v>554</v>
      </c>
      <c r="M5" s="42" t="s">
        <v>554</v>
      </c>
      <c r="N5" s="42">
        <v>0</v>
      </c>
      <c r="O5" s="42">
        <v>0</v>
      </c>
      <c r="P5" s="42">
        <v>0</v>
      </c>
      <c r="Q5" s="42">
        <v>0</v>
      </c>
    </row>
    <row r="6" spans="1:25">
      <c r="A6" s="33" t="s">
        <v>408</v>
      </c>
      <c r="B6" s="183" t="s">
        <v>409</v>
      </c>
      <c r="C6" s="38">
        <v>519</v>
      </c>
      <c r="D6" s="38">
        <v>-4292</v>
      </c>
      <c r="E6" s="38">
        <v>-907</v>
      </c>
      <c r="F6" s="38">
        <v>-1324</v>
      </c>
      <c r="G6" s="38" t="s">
        <v>554</v>
      </c>
      <c r="H6" s="38" t="s">
        <v>554</v>
      </c>
      <c r="I6" s="38" t="s">
        <v>554</v>
      </c>
      <c r="J6" s="38" t="s">
        <v>554</v>
      </c>
      <c r="K6" s="42" t="s">
        <v>554</v>
      </c>
      <c r="L6" s="42" t="s">
        <v>554</v>
      </c>
      <c r="M6" s="42" t="s">
        <v>554</v>
      </c>
      <c r="N6" s="42">
        <v>0</v>
      </c>
      <c r="O6" s="42">
        <v>0</v>
      </c>
      <c r="P6" s="42">
        <v>0</v>
      </c>
      <c r="Q6" s="42">
        <v>0</v>
      </c>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42">
        <v>3422</v>
      </c>
      <c r="Q7" s="42">
        <v>-1696</v>
      </c>
    </row>
    <row r="8" spans="1:25" ht="30" customHeight="1">
      <c r="A8" s="33" t="s">
        <v>412</v>
      </c>
      <c r="B8" s="33" t="s">
        <v>655</v>
      </c>
      <c r="C8" s="38">
        <v>0</v>
      </c>
      <c r="D8" s="38">
        <v>0</v>
      </c>
      <c r="E8" s="38">
        <v>0</v>
      </c>
      <c r="F8" s="38">
        <v>0</v>
      </c>
      <c r="G8" s="38">
        <v>394</v>
      </c>
      <c r="H8" s="38">
        <v>11114</v>
      </c>
      <c r="I8" s="38">
        <v>10443</v>
      </c>
      <c r="J8" s="38">
        <v>480</v>
      </c>
      <c r="K8" s="42">
        <v>-17521</v>
      </c>
      <c r="L8" s="42">
        <v>-3039</v>
      </c>
      <c r="M8" s="42">
        <v>1898</v>
      </c>
      <c r="N8" s="42">
        <v>-499</v>
      </c>
      <c r="O8" s="42">
        <v>-1064</v>
      </c>
      <c r="P8" s="42">
        <v>15481</v>
      </c>
      <c r="Q8" s="42">
        <v>3913</v>
      </c>
    </row>
    <row r="9" spans="1:25" ht="30" customHeight="1">
      <c r="A9" s="33" t="s">
        <v>413</v>
      </c>
      <c r="B9" s="33" t="s">
        <v>656</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c r="P10" s="39">
        <f t="shared" ref="P10:Q10" si="1">SUM(P3:P9)</f>
        <v>58612</v>
      </c>
      <c r="Q10" s="39">
        <f t="shared" si="1"/>
        <v>28321</v>
      </c>
    </row>
  </sheetData>
  <customSheetViews>
    <customSheetView guid="{746490BF-9C44-4B41-8803-BEC9E453576A}">
      <pane xSplit="2" ySplit="2" topLeftCell="C3" activePane="bottomRight" state="frozen"/>
      <selection pane="bottomRight" activeCell="C3" sqref="C3"/>
      <pageMargins left="0.7" right="0.7" top="0.75" bottom="0.75" header="0.3" footer="0.3"/>
    </customSheetView>
    <customSheetView guid="{9AF4A83C-CF57-4B40-8A74-6A0EA6C2FE5C}" hiddenColumns="1" topLeftCell="B1">
      <selection activeCell="M15" sqref="M15"/>
      <pageMargins left="0.7" right="0.7" top="0.75" bottom="0.75" header="0.3" footer="0.3"/>
    </customSheetView>
    <customSheetView guid="{899D69CD-4B7E-42BC-9944-5BD922EB798C}">
      <selection activeCell="M10" sqref="M10"/>
      <pageMargins left="0.7" right="0.7" top="0.75" bottom="0.75" header="0.3" footer="0.3"/>
    </customSheetView>
    <customSheetView guid="{25FAB884-5E17-4008-8139-33D910C7DEFE}">
      <selection activeCell="I23" sqref="I23"/>
      <pageMargins left="0.7" right="0.7" top="0.75" bottom="0.75" header="0.3" footer="0.3"/>
    </customSheetView>
    <customSheetView guid="{8DA78CF1-615A-4626-9893-6751995631A4}" scale="82">
      <selection activeCell="E14" sqref="E14"/>
      <pageMargins left="0.7" right="0.7" top="0.75" bottom="0.75" header="0.3" footer="0.3"/>
    </customSheetView>
    <customSheetView guid="{57267270-6A97-4850-9DB6-FE6B399379AA}">
      <selection activeCell="L9" sqref="L9"/>
      <pageMargins left="0.7" right="0.7" top="0.75" bottom="0.75" header="0.3" footer="0.3"/>
    </customSheetView>
    <customSheetView guid="{687A4863-1825-4D63-B732-E76682E6DE4F}" scale="108" topLeftCell="H1">
      <selection activeCell="M12" sqref="M12"/>
      <pageMargins left="0.7" right="0.7" top="0.75" bottom="0.75" header="0.3" footer="0.3"/>
    </customSheetView>
    <customSheetView guid="{12F8D032-8143-430B-8DFF-852E8796C402}">
      <selection activeCell="B18" sqref="B18"/>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5" t="s">
        <v>94</v>
      </c>
      <c r="B1" s="185" t="s">
        <v>7</v>
      </c>
      <c r="C1" s="36" t="s">
        <v>189</v>
      </c>
      <c r="D1" s="36" t="s">
        <v>190</v>
      </c>
      <c r="E1" s="36" t="s">
        <v>191</v>
      </c>
      <c r="F1" s="36" t="s">
        <v>192</v>
      </c>
      <c r="G1" s="36" t="s">
        <v>193</v>
      </c>
      <c r="H1" s="36" t="s">
        <v>194</v>
      </c>
      <c r="I1" s="36" t="s">
        <v>195</v>
      </c>
      <c r="J1" s="36" t="s">
        <v>196</v>
      </c>
      <c r="K1" s="40" t="s">
        <v>197</v>
      </c>
      <c r="L1" s="249" t="s">
        <v>198</v>
      </c>
      <c r="M1" s="249" t="s">
        <v>623</v>
      </c>
      <c r="N1" s="249" t="s">
        <v>632</v>
      </c>
      <c r="O1" s="249" t="s">
        <v>670</v>
      </c>
      <c r="P1" s="249" t="s">
        <v>674</v>
      </c>
      <c r="Q1" s="249" t="s">
        <v>685</v>
      </c>
      <c r="R1" s="92"/>
      <c r="S1" s="92"/>
      <c r="T1" s="92"/>
      <c r="U1" s="92"/>
      <c r="V1" s="92"/>
      <c r="W1" s="92"/>
    </row>
    <row r="2" spans="1:23" ht="38.25">
      <c r="A2" s="33" t="s">
        <v>540</v>
      </c>
      <c r="B2" s="33" t="s">
        <v>658</v>
      </c>
      <c r="C2" s="37">
        <v>0</v>
      </c>
      <c r="D2" s="37">
        <v>0</v>
      </c>
      <c r="E2" s="37">
        <v>0</v>
      </c>
      <c r="F2" s="37">
        <v>0</v>
      </c>
      <c r="G2" s="38">
        <v>210</v>
      </c>
      <c r="H2" s="38">
        <v>7498</v>
      </c>
      <c r="I2" s="38">
        <v>13897</v>
      </c>
      <c r="J2" s="38">
        <v>6722</v>
      </c>
      <c r="K2" s="38">
        <v>8486</v>
      </c>
      <c r="L2" s="250">
        <v>40500</v>
      </c>
      <c r="M2" s="250">
        <v>37508</v>
      </c>
      <c r="N2" s="250">
        <v>38179</v>
      </c>
      <c r="O2" s="250">
        <v>51976</v>
      </c>
      <c r="P2" s="250">
        <v>8500</v>
      </c>
      <c r="Q2" s="250">
        <v>109596</v>
      </c>
    </row>
    <row r="3" spans="1:23" ht="38.25">
      <c r="A3" s="183" t="s">
        <v>541</v>
      </c>
      <c r="B3" s="183" t="s">
        <v>657</v>
      </c>
      <c r="C3" s="38">
        <v>0</v>
      </c>
      <c r="D3" s="38">
        <v>0</v>
      </c>
      <c r="E3" s="38">
        <v>0</v>
      </c>
      <c r="F3" s="38">
        <v>0</v>
      </c>
      <c r="G3" s="38">
        <v>-4</v>
      </c>
      <c r="H3" s="38">
        <v>3</v>
      </c>
      <c r="I3" s="38">
        <v>-23</v>
      </c>
      <c r="J3" s="38">
        <v>0</v>
      </c>
      <c r="K3" s="38">
        <v>0</v>
      </c>
      <c r="L3" s="250">
        <v>-8</v>
      </c>
      <c r="M3" s="250">
        <v>26</v>
      </c>
      <c r="N3" s="250">
        <v>0</v>
      </c>
      <c r="O3" s="250">
        <v>-5</v>
      </c>
      <c r="P3" s="250">
        <v>-80</v>
      </c>
      <c r="Q3" s="250">
        <v>0</v>
      </c>
    </row>
    <row r="4" spans="1:23" ht="38.25">
      <c r="A4" s="183" t="s">
        <v>686</v>
      </c>
      <c r="B4" s="183" t="s">
        <v>687</v>
      </c>
      <c r="C4" s="38">
        <v>0</v>
      </c>
      <c r="D4" s="38">
        <v>0</v>
      </c>
      <c r="E4" s="38">
        <v>0</v>
      </c>
      <c r="F4" s="38">
        <v>0</v>
      </c>
      <c r="G4" s="38">
        <v>4118</v>
      </c>
      <c r="H4" s="38">
        <v>10713</v>
      </c>
      <c r="I4" s="38">
        <v>14988</v>
      </c>
      <c r="J4" s="38">
        <v>-17476</v>
      </c>
      <c r="K4" s="38">
        <v>24673</v>
      </c>
      <c r="L4" s="250">
        <v>17618</v>
      </c>
      <c r="M4" s="250">
        <v>-1927</v>
      </c>
      <c r="N4" s="250">
        <v>16594</v>
      </c>
      <c r="O4" s="250">
        <v>-29930</v>
      </c>
      <c r="P4" s="250">
        <v>33205</v>
      </c>
      <c r="Q4" s="250">
        <v>11755</v>
      </c>
    </row>
    <row r="5" spans="1:23" ht="25.5">
      <c r="A5" s="183" t="s">
        <v>550</v>
      </c>
      <c r="B5" s="183" t="s">
        <v>552</v>
      </c>
      <c r="C5" s="198">
        <v>10775</v>
      </c>
      <c r="D5" s="198">
        <v>0</v>
      </c>
      <c r="E5" s="198">
        <v>1866</v>
      </c>
      <c r="F5" s="198">
        <v>13823</v>
      </c>
      <c r="G5" s="38">
        <v>0</v>
      </c>
      <c r="H5" s="38">
        <v>0</v>
      </c>
      <c r="I5" s="38">
        <v>0</v>
      </c>
      <c r="J5" s="38">
        <v>0</v>
      </c>
      <c r="K5" s="38">
        <v>0</v>
      </c>
      <c r="L5" s="250">
        <v>0</v>
      </c>
      <c r="M5" s="250">
        <v>0</v>
      </c>
      <c r="N5" s="250">
        <v>0</v>
      </c>
      <c r="O5" s="250">
        <v>0</v>
      </c>
      <c r="P5" s="250">
        <v>0</v>
      </c>
      <c r="Q5" s="250">
        <v>0</v>
      </c>
    </row>
    <row r="6" spans="1:23" ht="25.5">
      <c r="A6" s="183" t="s">
        <v>551</v>
      </c>
      <c r="B6" s="183" t="s">
        <v>553</v>
      </c>
      <c r="C6" s="198">
        <v>5503</v>
      </c>
      <c r="D6" s="198">
        <v>9700</v>
      </c>
      <c r="E6" s="198">
        <v>3503</v>
      </c>
      <c r="F6" s="198">
        <v>2116</v>
      </c>
      <c r="G6" s="38">
        <v>0</v>
      </c>
      <c r="H6" s="38">
        <v>0</v>
      </c>
      <c r="I6" s="38">
        <v>0</v>
      </c>
      <c r="J6" s="38">
        <v>0</v>
      </c>
      <c r="K6" s="38">
        <v>0</v>
      </c>
      <c r="L6" s="250">
        <v>0</v>
      </c>
      <c r="M6" s="250">
        <v>0</v>
      </c>
      <c r="N6" s="250">
        <v>0</v>
      </c>
      <c r="O6" s="250">
        <v>0</v>
      </c>
      <c r="P6" s="250">
        <v>0</v>
      </c>
      <c r="Q6" s="250">
        <v>0</v>
      </c>
    </row>
    <row r="7" spans="1:23" ht="15" customHeight="1">
      <c r="A7" s="183" t="s">
        <v>633</v>
      </c>
      <c r="B7" s="183" t="s">
        <v>634</v>
      </c>
      <c r="C7" s="198">
        <v>0</v>
      </c>
      <c r="D7" s="198"/>
      <c r="E7" s="198">
        <v>-461</v>
      </c>
      <c r="F7" s="198">
        <v>0</v>
      </c>
      <c r="G7" s="38">
        <v>0</v>
      </c>
      <c r="H7" s="38">
        <v>0</v>
      </c>
      <c r="I7" s="38">
        <v>0</v>
      </c>
      <c r="J7" s="38">
        <v>0</v>
      </c>
      <c r="K7" s="38">
        <v>0</v>
      </c>
      <c r="L7" s="250">
        <v>0</v>
      </c>
      <c r="M7" s="250">
        <v>0</v>
      </c>
      <c r="N7" s="250">
        <v>-11244</v>
      </c>
      <c r="O7" s="250">
        <v>0</v>
      </c>
      <c r="P7" s="250">
        <v>-8535</v>
      </c>
      <c r="Q7" s="250">
        <v>0</v>
      </c>
    </row>
    <row r="8" spans="1:23" ht="15" customHeight="1">
      <c r="A8" s="59" t="s">
        <v>542</v>
      </c>
      <c r="B8" s="59" t="s">
        <v>546</v>
      </c>
      <c r="C8" s="197">
        <f t="shared" ref="C8:L8" si="0">SUM(C2:C7)</f>
        <v>16278</v>
      </c>
      <c r="D8" s="197">
        <f t="shared" si="0"/>
        <v>9700</v>
      </c>
      <c r="E8" s="197">
        <f t="shared" si="0"/>
        <v>4908</v>
      </c>
      <c r="F8" s="197">
        <f t="shared" si="0"/>
        <v>15939</v>
      </c>
      <c r="G8" s="63">
        <f t="shared" si="0"/>
        <v>4324</v>
      </c>
      <c r="H8" s="63">
        <f t="shared" si="0"/>
        <v>18214</v>
      </c>
      <c r="I8" s="63">
        <f t="shared" si="0"/>
        <v>28862</v>
      </c>
      <c r="J8" s="63">
        <f t="shared" si="0"/>
        <v>-10754</v>
      </c>
      <c r="K8" s="63">
        <f t="shared" si="0"/>
        <v>33159</v>
      </c>
      <c r="L8" s="251">
        <f t="shared" si="0"/>
        <v>58110</v>
      </c>
      <c r="M8" s="251">
        <f>SUM(M2:M7)</f>
        <v>35607</v>
      </c>
      <c r="N8" s="251">
        <f>SUM(N2:N7)</f>
        <v>43529</v>
      </c>
      <c r="O8" s="251">
        <f>SUM(O2:O7)</f>
        <v>22041</v>
      </c>
      <c r="P8" s="251">
        <f>SUM(P2:P7)</f>
        <v>33090</v>
      </c>
      <c r="Q8" s="251">
        <f>SUM(Q2:Q7)</f>
        <v>121351</v>
      </c>
    </row>
    <row r="9" spans="1:23" ht="15" customHeight="1">
      <c r="A9" s="33" t="s">
        <v>543</v>
      </c>
      <c r="B9" s="33" t="s">
        <v>547</v>
      </c>
      <c r="C9" s="195">
        <v>2789</v>
      </c>
      <c r="D9" s="195">
        <v>2898</v>
      </c>
      <c r="E9" s="195">
        <v>10806</v>
      </c>
      <c r="F9" s="195">
        <v>7267</v>
      </c>
      <c r="G9" s="38">
        <v>-9332</v>
      </c>
      <c r="H9" s="38">
        <v>6939</v>
      </c>
      <c r="I9" s="38">
        <v>8220</v>
      </c>
      <c r="J9" s="38">
        <v>-22389</v>
      </c>
      <c r="K9" s="38">
        <v>-4108</v>
      </c>
      <c r="L9" s="250">
        <v>-7809</v>
      </c>
      <c r="M9" s="250">
        <v>-46668</v>
      </c>
      <c r="N9" s="250">
        <v>50910</v>
      </c>
      <c r="O9" s="250">
        <v>-179604</v>
      </c>
      <c r="P9" s="250">
        <v>-49322</v>
      </c>
      <c r="Q9" s="250">
        <v>22906</v>
      </c>
    </row>
    <row r="10" spans="1:23" ht="15" customHeight="1">
      <c r="A10" s="33" t="s">
        <v>544</v>
      </c>
      <c r="B10" s="33" t="s">
        <v>548</v>
      </c>
      <c r="C10" s="195">
        <v>-1890</v>
      </c>
      <c r="D10" s="195">
        <v>-1828</v>
      </c>
      <c r="E10" s="195">
        <v>-11752</v>
      </c>
      <c r="F10" s="195">
        <v>-7613</v>
      </c>
      <c r="G10" s="38">
        <v>8935</v>
      </c>
      <c r="H10" s="38">
        <v>-8253</v>
      </c>
      <c r="I10" s="38">
        <v>-7633</v>
      </c>
      <c r="J10" s="38">
        <v>20347</v>
      </c>
      <c r="K10" s="38">
        <v>3804</v>
      </c>
      <c r="L10" s="250">
        <v>11595</v>
      </c>
      <c r="M10" s="250">
        <v>53402</v>
      </c>
      <c r="N10" s="250">
        <v>-46056</v>
      </c>
      <c r="O10" s="250">
        <v>184049</v>
      </c>
      <c r="P10" s="250">
        <v>43288</v>
      </c>
      <c r="Q10" s="250">
        <v>-16155</v>
      </c>
    </row>
    <row r="11" spans="1:23" ht="25.5">
      <c r="A11" s="184" t="s">
        <v>545</v>
      </c>
      <c r="B11" s="184" t="s">
        <v>549</v>
      </c>
      <c r="C11" s="196">
        <f t="shared" ref="C11:H11" si="1">SUM(C9:C10)</f>
        <v>899</v>
      </c>
      <c r="D11" s="196">
        <f t="shared" si="1"/>
        <v>1070</v>
      </c>
      <c r="E11" s="196">
        <f t="shared" si="1"/>
        <v>-946</v>
      </c>
      <c r="F11" s="196">
        <f t="shared" si="1"/>
        <v>-346</v>
      </c>
      <c r="G11" s="186">
        <f t="shared" si="1"/>
        <v>-397</v>
      </c>
      <c r="H11" s="186">
        <f t="shared" si="1"/>
        <v>-1314</v>
      </c>
      <c r="I11" s="186">
        <f t="shared" ref="I11:O11" si="2">SUM(I9:I10)</f>
        <v>587</v>
      </c>
      <c r="J11" s="186">
        <f t="shared" si="2"/>
        <v>-2042</v>
      </c>
      <c r="K11" s="186">
        <f t="shared" si="2"/>
        <v>-304</v>
      </c>
      <c r="L11" s="186">
        <f t="shared" si="2"/>
        <v>3786</v>
      </c>
      <c r="M11" s="186">
        <f t="shared" si="2"/>
        <v>6734</v>
      </c>
      <c r="N11" s="186">
        <f t="shared" si="2"/>
        <v>4854</v>
      </c>
      <c r="O11" s="186">
        <f t="shared" si="2"/>
        <v>4445</v>
      </c>
      <c r="P11" s="186">
        <f t="shared" ref="P11:Q11" si="3">SUM(P9:P10)</f>
        <v>-6034</v>
      </c>
      <c r="Q11" s="186">
        <f t="shared" si="3"/>
        <v>6751</v>
      </c>
    </row>
    <row r="12" spans="1:23">
      <c r="A12" s="35" t="s">
        <v>58</v>
      </c>
      <c r="B12" s="35" t="s">
        <v>43</v>
      </c>
      <c r="C12" s="194">
        <f t="shared" ref="C12:H12" si="4">C8+C11</f>
        <v>17177</v>
      </c>
      <c r="D12" s="194">
        <f t="shared" si="4"/>
        <v>10770</v>
      </c>
      <c r="E12" s="194">
        <f t="shared" si="4"/>
        <v>3962</v>
      </c>
      <c r="F12" s="194">
        <f t="shared" si="4"/>
        <v>15593</v>
      </c>
      <c r="G12" s="39">
        <f t="shared" si="4"/>
        <v>3927</v>
      </c>
      <c r="H12" s="39">
        <f t="shared" si="4"/>
        <v>16900</v>
      </c>
      <c r="I12" s="39">
        <f t="shared" ref="I12:O12" si="5">I8+I11</f>
        <v>29449</v>
      </c>
      <c r="J12" s="39">
        <f t="shared" si="5"/>
        <v>-12796</v>
      </c>
      <c r="K12" s="39">
        <f t="shared" si="5"/>
        <v>32855</v>
      </c>
      <c r="L12" s="252">
        <f t="shared" si="5"/>
        <v>61896</v>
      </c>
      <c r="M12" s="252">
        <f t="shared" si="5"/>
        <v>42341</v>
      </c>
      <c r="N12" s="252">
        <f t="shared" si="5"/>
        <v>48383</v>
      </c>
      <c r="O12" s="252">
        <f t="shared" si="5"/>
        <v>26486</v>
      </c>
      <c r="P12" s="252">
        <f t="shared" ref="P12:Q12" si="6">P8+P11</f>
        <v>27056</v>
      </c>
      <c r="Q12" s="252">
        <f t="shared" si="6"/>
        <v>128102</v>
      </c>
    </row>
    <row r="13" spans="1:23">
      <c r="A13" s="187"/>
      <c r="B13" s="187"/>
      <c r="C13" s="245">
        <f>C12-'P&amp;L'!C13</f>
        <v>0</v>
      </c>
      <c r="D13" s="245">
        <f>D12-'P&amp;L'!D13</f>
        <v>0</v>
      </c>
      <c r="E13" s="245">
        <f>E12-'P&amp;L'!E13</f>
        <v>0</v>
      </c>
      <c r="F13" s="245">
        <f>F12-'P&amp;L'!F13</f>
        <v>0</v>
      </c>
      <c r="G13" s="245">
        <f>G12-'P&amp;L'!G13</f>
        <v>0</v>
      </c>
      <c r="H13" s="245">
        <f>H12-'P&amp;L'!H13</f>
        <v>0</v>
      </c>
      <c r="I13" s="245">
        <f>I12-'P&amp;L'!I13</f>
        <v>0</v>
      </c>
      <c r="J13" s="245">
        <f>J12-'P&amp;L'!J13</f>
        <v>0</v>
      </c>
      <c r="K13" s="245">
        <f>K12-'P&amp;L'!K13</f>
        <v>0</v>
      </c>
      <c r="L13" s="245">
        <f>L12-'P&amp;L'!L13</f>
        <v>0</v>
      </c>
      <c r="M13" s="245">
        <f>M12-'P&amp;L'!M13</f>
        <v>0</v>
      </c>
      <c r="N13" s="245">
        <f>N12-'P&amp;L'!N13</f>
        <v>0</v>
      </c>
      <c r="O13" s="190">
        <f>'P&amp;L'!O13-O12</f>
        <v>0</v>
      </c>
      <c r="P13" s="190">
        <f>'P&amp;L'!P13-P12</f>
        <v>0</v>
      </c>
      <c r="Q13" s="190">
        <f>'P&amp;L'!Q13-Q12</f>
        <v>0</v>
      </c>
    </row>
    <row r="14" spans="1:23">
      <c r="A14" s="187"/>
      <c r="B14" s="187"/>
      <c r="G14" s="188"/>
      <c r="H14" s="188"/>
      <c r="I14" s="188"/>
      <c r="J14" s="188"/>
      <c r="K14" s="188"/>
      <c r="P14" s="189"/>
      <c r="Q14" s="189"/>
    </row>
    <row r="15" spans="1:23">
      <c r="D15" s="91"/>
      <c r="E15" s="91"/>
      <c r="F15" s="91"/>
      <c r="G15" s="91"/>
      <c r="H15" s="91"/>
      <c r="I15" s="91"/>
      <c r="J15" s="91"/>
      <c r="K15" s="91"/>
    </row>
    <row r="16" spans="1:23">
      <c r="D16" s="91"/>
      <c r="E16" s="91"/>
      <c r="F16" s="91"/>
      <c r="G16" s="91"/>
      <c r="H16" s="91"/>
      <c r="I16" s="91"/>
      <c r="J16" s="91"/>
      <c r="K16" s="91"/>
    </row>
    <row r="17" spans="7:7">
      <c r="G17" s="278"/>
    </row>
    <row r="18" spans="7:7">
      <c r="G18" s="278"/>
    </row>
    <row r="19" spans="7:7">
      <c r="G19" s="278"/>
    </row>
    <row r="20" spans="7:7">
      <c r="G20" s="278"/>
    </row>
    <row r="21" spans="7:7">
      <c r="G21" s="278"/>
    </row>
    <row r="22" spans="7:7">
      <c r="G22" s="278"/>
    </row>
    <row r="23" spans="7:7">
      <c r="G23" s="278"/>
    </row>
    <row r="24" spans="7:7">
      <c r="G24" s="278"/>
    </row>
    <row r="25" spans="7:7">
      <c r="G25" s="278"/>
    </row>
    <row r="26" spans="7:7">
      <c r="G26" s="278"/>
    </row>
    <row r="27" spans="7:7">
      <c r="G27" s="278"/>
    </row>
    <row r="28" spans="7:7">
      <c r="G28" s="278"/>
    </row>
    <row r="29" spans="7:7">
      <c r="G29" s="278"/>
    </row>
    <row r="30" spans="7:7">
      <c r="G30" s="278"/>
    </row>
    <row r="31" spans="7:7">
      <c r="G31" s="278"/>
    </row>
    <row r="32" spans="7:7">
      <c r="G32" s="278"/>
    </row>
    <row r="33" spans="7:7">
      <c r="G33" s="278"/>
    </row>
    <row r="34" spans="7:7">
      <c r="G34" s="278"/>
    </row>
    <row r="35" spans="7:7">
      <c r="G35" s="278"/>
    </row>
    <row r="36" spans="7:7">
      <c r="G36" s="278"/>
    </row>
    <row r="37" spans="7:7">
      <c r="G37" s="278">
        <f>G22+H22+I22</f>
        <v>0</v>
      </c>
    </row>
    <row r="38" spans="7:7">
      <c r="G38" s="278">
        <f>G23+H23+I23</f>
        <v>0</v>
      </c>
    </row>
  </sheetData>
  <customSheetViews>
    <customSheetView guid="{746490BF-9C44-4B41-8803-BEC9E453576A}">
      <pane xSplit="2" ySplit="1" topLeftCell="C2" activePane="bottomRight" state="frozen"/>
      <selection pane="bottomRight" activeCell="C2" sqref="C2"/>
      <pageMargins left="0.7" right="0.7" top="0.75" bottom="0.75" header="0.3" footer="0.3"/>
    </customSheetView>
    <customSheetView guid="{9AF4A83C-CF57-4B40-8A74-6A0EA6C2FE5C}" hiddenColumns="1">
      <selection activeCell="Q21" sqref="Q21"/>
      <pageMargins left="0.7" right="0.7" top="0.75" bottom="0.75" header="0.3" footer="0.3"/>
    </customSheetView>
    <customSheetView guid="{899D69CD-4B7E-42BC-9944-5BD922EB798C}" topLeftCell="G1">
      <selection activeCell="O1" sqref="O1:O1048576"/>
      <pageMargins left="0.7" right="0.7" top="0.75" bottom="0.75" header="0.3" footer="0.3"/>
    </customSheetView>
    <customSheetView guid="{25FAB884-5E17-4008-8139-33D910C7DEFE}">
      <selection activeCell="S10" sqref="S10"/>
      <pageMargins left="0.7" right="0.7" top="0.75" bottom="0.75" header="0.3" footer="0.3"/>
      <pageSetup paperSize="9" orientation="portrait" horizontalDpi="1200" verticalDpi="1200" r:id="rId1"/>
    </customSheetView>
    <customSheetView guid="{8DA78CF1-615A-4626-9893-6751995631A4}" scale="52">
      <selection activeCell="E20" sqref="E20"/>
      <pageMargins left="0.7" right="0.7" top="0.75" bottom="0.75" header="0.3" footer="0.3"/>
    </customSheetView>
    <customSheetView guid="{57267270-6A97-4850-9DB6-FE6B399379AA}" topLeftCell="F1">
      <selection activeCell="P8" sqref="P8"/>
      <pageMargins left="0.7" right="0.7" top="0.75" bottom="0.75" header="0.3" footer="0.3"/>
    </customSheetView>
    <customSheetView guid="{687A4863-1825-4D63-B732-E76682E6DE4F}" scale="52">
      <selection activeCell="E20" sqref="E20"/>
      <pageMargins left="0.7" right="0.7" top="0.75" bottom="0.75" header="0.3" footer="0.3"/>
    </customSheetView>
    <customSheetView guid="{12F8D032-8143-430B-8DFF-852E8796C402}">
      <selection activeCell="A6" sqref="A6:XFD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showGridLines="0" topLeftCell="B1" workbookViewId="0">
      <pane xSplit="1" ySplit="2" topLeftCell="C3" activePane="bottomRight" state="frozen"/>
      <selection activeCell="B1" sqref="B1"/>
      <selection pane="topRight" activeCell="C1" sqref="C1"/>
      <selection pane="bottomLeft" activeCell="B3" sqref="B3"/>
      <selection pane="bottomRight" activeCell="C3" sqref="C3"/>
    </sheetView>
  </sheetViews>
  <sheetFormatPr defaultColWidth="9.140625" defaultRowHeight="15"/>
  <cols>
    <col min="1" max="2" width="50.85546875" style="19" customWidth="1"/>
    <col min="3" max="10" width="13.42578125" style="19" customWidth="1"/>
    <col min="11" max="17" width="13.42578125" style="93" customWidth="1"/>
    <col min="18" max="16384" width="9.140625" style="19"/>
  </cols>
  <sheetData>
    <row r="2" spans="1:17" ht="15.75" thickBot="1">
      <c r="A2" s="44" t="s">
        <v>283</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c r="Q2" s="205">
        <v>44104</v>
      </c>
    </row>
    <row r="3" spans="1:17" ht="15" customHeight="1">
      <c r="A3" s="45" t="s">
        <v>245</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c r="P3" s="49">
        <v>57379919</v>
      </c>
      <c r="Q3" s="49">
        <v>56436827</v>
      </c>
    </row>
    <row r="4" spans="1:17"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row>
    <row r="5" spans="1:17" ht="15" customHeight="1">
      <c r="A5" s="46" t="s">
        <v>284</v>
      </c>
      <c r="B5" s="326"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row>
    <row r="6" spans="1:17"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row>
    <row r="7" spans="1:17"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row>
    <row r="8" spans="1:17" ht="17.45" customHeight="1">
      <c r="A8" s="45" t="s">
        <v>313</v>
      </c>
      <c r="B8" s="45" t="s">
        <v>312</v>
      </c>
      <c r="C8" s="49">
        <v>0</v>
      </c>
      <c r="D8" s="49">
        <v>0</v>
      </c>
      <c r="E8" s="49">
        <v>0</v>
      </c>
      <c r="F8" s="49">
        <v>0</v>
      </c>
      <c r="G8" s="49">
        <v>0</v>
      </c>
      <c r="H8" s="49">
        <v>0</v>
      </c>
      <c r="I8" s="49">
        <v>0</v>
      </c>
      <c r="J8" s="49">
        <v>0</v>
      </c>
      <c r="K8" s="49">
        <v>0</v>
      </c>
      <c r="L8" s="49">
        <v>0</v>
      </c>
      <c r="M8" s="49">
        <v>0</v>
      </c>
      <c r="N8" s="49">
        <v>0</v>
      </c>
      <c r="O8" s="49">
        <v>0</v>
      </c>
      <c r="P8" s="49">
        <v>0</v>
      </c>
      <c r="Q8" s="49">
        <v>0</v>
      </c>
    </row>
    <row r="9" spans="1:17"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row>
    <row r="10" spans="1:17" ht="15" customHeight="1">
      <c r="A10" s="47" t="s">
        <v>288</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M3+M4+M6+M7+M9</f>
        <v>148942734</v>
      </c>
      <c r="N10" s="50">
        <f>N3+N4+N6+N7+N9</f>
        <v>148646993</v>
      </c>
      <c r="O10" s="50">
        <f>O3+O4+O6+O7+O9</f>
        <v>153236468</v>
      </c>
      <c r="P10" s="50">
        <f>P3+P4+P6+P7+P9</f>
        <v>148516154</v>
      </c>
      <c r="Q10" s="50">
        <f>Q3+Q4+Q6+Q7+Q9</f>
        <v>148183595</v>
      </c>
    </row>
    <row r="11" spans="1:17" ht="15" customHeight="1">
      <c r="A11" s="45" t="s">
        <v>289</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c r="P11" s="49">
        <v>-5894019</v>
      </c>
      <c r="Q11" s="49">
        <v>-6132157</v>
      </c>
    </row>
    <row r="12" spans="1:17">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M10+M11</f>
        <v>143825386</v>
      </c>
      <c r="N12" s="51">
        <f>N10+N11</f>
        <v>143402629</v>
      </c>
      <c r="O12" s="51">
        <f>O10+O11</f>
        <v>147672910</v>
      </c>
      <c r="P12" s="51">
        <f>P10+P11</f>
        <v>142622135</v>
      </c>
      <c r="Q12" s="51">
        <f>Q10+Q11</f>
        <v>142051438</v>
      </c>
    </row>
    <row r="14" spans="1:17" ht="10.5" customHeight="1"/>
    <row r="15" spans="1:17" ht="11.1" customHeight="1"/>
    <row r="19" spans="11:17" s="286" customFormat="1">
      <c r="K19" s="285"/>
      <c r="L19" s="285"/>
      <c r="M19" s="285"/>
      <c r="N19" s="285"/>
      <c r="O19" s="285"/>
      <c r="P19" s="285"/>
      <c r="Q19" s="285"/>
    </row>
    <row r="23" spans="11:17" ht="10.5" customHeight="1"/>
  </sheetData>
  <customSheetViews>
    <customSheetView guid="{746490BF-9C44-4B41-8803-BEC9E453576A}" showGridLines="0" topLeftCell="B1">
      <pane xSplit="1" ySplit="2" topLeftCell="C3" activePane="bottomRight" state="frozen"/>
      <selection pane="bottomRight" activeCell="C3" sqref="C3"/>
      <pageMargins left="0.7" right="0.7" top="0.75" bottom="0.75" header="0.3" footer="0.3"/>
    </customSheetView>
    <customSheetView guid="{9AF4A83C-CF57-4B40-8A74-6A0EA6C2FE5C}" topLeftCell="C1">
      <selection activeCell="R17" sqref="R17"/>
      <pageMargins left="0.7" right="0.7" top="0.75" bottom="0.75" header="0.3" footer="0.3"/>
    </customSheetView>
    <customSheetView guid="{899D69CD-4B7E-42BC-9944-5BD922EB798C}" hiddenRows="1">
      <pane xSplit="2" ySplit="2" topLeftCell="N3" activePane="bottomRight" state="frozen"/>
      <selection pane="bottomRight" activeCell="Q20" sqref="Q20"/>
      <pageMargins left="0.7" right="0.7" top="0.75" bottom="0.75" header="0.3" footer="0.3"/>
    </customSheetView>
    <customSheetView guid="{25FAB884-5E17-4008-8139-33D910C7DEFE}">
      <selection activeCell="G13" sqref="G13"/>
      <pageMargins left="0.7" right="0.7" top="0.75" bottom="0.75" header="0.3" footer="0.3"/>
    </customSheetView>
    <customSheetView guid="{8DA78CF1-615A-4626-9893-6751995631A4}" showGridLines="0" topLeftCell="G1">
      <selection activeCell="O17" sqref="O17"/>
      <pageMargins left="0.7" right="0.7" top="0.75" bottom="0.75" header="0.3" footer="0.3"/>
    </customSheetView>
    <customSheetView guid="{57267270-6A97-4850-9DB6-FE6B399379AA}">
      <selection activeCell="A15" sqref="A15"/>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5"/>
  <cols>
    <col min="1" max="1" width="68.85546875" customWidth="1"/>
    <col min="2" max="2" width="61.85546875" customWidth="1"/>
    <col min="3" max="5" width="13.42578125" customWidth="1"/>
    <col min="6" max="7" width="13.42578125" style="3" customWidth="1"/>
    <col min="8" max="18" width="13.42578125" customWidth="1"/>
  </cols>
  <sheetData>
    <row r="2" spans="1:18" ht="15.75" thickBot="1">
      <c r="A2" s="55" t="s">
        <v>338</v>
      </c>
      <c r="B2" s="55" t="s">
        <v>260</v>
      </c>
      <c r="C2" s="78">
        <v>42825</v>
      </c>
      <c r="D2" s="78">
        <v>42916</v>
      </c>
      <c r="E2" s="78">
        <v>43008</v>
      </c>
      <c r="F2" s="61">
        <v>43100</v>
      </c>
      <c r="G2" s="61">
        <v>43101</v>
      </c>
      <c r="H2" s="78">
        <v>43190</v>
      </c>
      <c r="I2" s="78">
        <v>43281</v>
      </c>
      <c r="J2" s="78">
        <v>43373</v>
      </c>
      <c r="K2" s="61">
        <v>43465</v>
      </c>
      <c r="L2" s="61">
        <v>43555</v>
      </c>
      <c r="M2" s="253">
        <v>43646</v>
      </c>
      <c r="N2" s="253">
        <v>43738</v>
      </c>
      <c r="O2" s="299">
        <v>43830</v>
      </c>
      <c r="P2" s="299">
        <v>43921</v>
      </c>
      <c r="Q2" s="299">
        <v>44012</v>
      </c>
      <c r="R2" s="299">
        <v>44104</v>
      </c>
    </row>
    <row r="3" spans="1:18"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4">
        <f t="shared" si="0"/>
        <v>37097116</v>
      </c>
      <c r="N3" s="254">
        <f>N5+N8+N10</f>
        <v>36585574</v>
      </c>
      <c r="O3" s="300">
        <f>O5+O8+O10</f>
        <v>40248937</v>
      </c>
      <c r="P3" s="300">
        <f>P5+P8+P10</f>
        <v>40130536</v>
      </c>
      <c r="Q3" s="300">
        <f>Q5+Q8+Q10</f>
        <v>55799648</v>
      </c>
      <c r="R3" s="300">
        <f>R5+R8+R10</f>
        <v>60192017</v>
      </c>
    </row>
    <row r="4" spans="1:18" s="3" customFormat="1" ht="15" customHeight="1">
      <c r="A4" s="56" t="s">
        <v>391</v>
      </c>
      <c r="B4" s="56" t="s">
        <v>392</v>
      </c>
      <c r="C4" s="63">
        <f>C5+C10</f>
        <v>24212430</v>
      </c>
      <c r="D4" s="63">
        <f>D5+D10</f>
        <v>24184070</v>
      </c>
      <c r="E4" s="63">
        <f>E7+E9+E11</f>
        <v>25011794</v>
      </c>
      <c r="F4" s="86">
        <f>F7+F9+F11</f>
        <v>25984209</v>
      </c>
      <c r="G4" s="56"/>
      <c r="H4" s="56"/>
      <c r="I4" s="56"/>
      <c r="J4" s="56"/>
      <c r="K4" s="56"/>
      <c r="L4" s="56"/>
      <c r="M4" s="255"/>
      <c r="N4" s="255"/>
      <c r="O4" s="301"/>
      <c r="P4" s="301"/>
      <c r="Q4" s="301"/>
      <c r="R4" s="301"/>
    </row>
    <row r="5" spans="1:18" ht="15" customHeight="1">
      <c r="A5" s="57" t="s">
        <v>340</v>
      </c>
      <c r="B5" s="57" t="s">
        <v>350</v>
      </c>
      <c r="C5" s="38">
        <f t="shared" ref="C5:M5" si="1">C7+C6</f>
        <v>22182310</v>
      </c>
      <c r="D5" s="38">
        <f t="shared" si="1"/>
        <v>22034197</v>
      </c>
      <c r="E5" s="38">
        <f t="shared" si="1"/>
        <v>21610256</v>
      </c>
      <c r="F5" s="38">
        <f t="shared" si="1"/>
        <v>22514629</v>
      </c>
      <c r="G5" s="38">
        <f t="shared" si="1"/>
        <v>22514629</v>
      </c>
      <c r="H5" s="38">
        <f t="shared" si="1"/>
        <v>24538574</v>
      </c>
      <c r="I5" s="38">
        <f t="shared" si="1"/>
        <v>27154076</v>
      </c>
      <c r="J5" s="38">
        <f t="shared" si="1"/>
        <v>28624667</v>
      </c>
      <c r="K5" s="38">
        <f t="shared" si="1"/>
        <v>29068536</v>
      </c>
      <c r="L5" s="38">
        <f t="shared" si="1"/>
        <v>31777287</v>
      </c>
      <c r="M5" s="250">
        <f t="shared" si="1"/>
        <v>33136741</v>
      </c>
      <c r="N5" s="250">
        <f>N7+N6</f>
        <v>34540831</v>
      </c>
      <c r="O5" s="302">
        <f>O7+O6</f>
        <v>34332625</v>
      </c>
      <c r="P5" s="302">
        <f>P7+P6</f>
        <v>36500147</v>
      </c>
      <c r="Q5" s="302">
        <f>Q7+Q6</f>
        <v>45429189</v>
      </c>
      <c r="R5" s="302">
        <f>R7+R6</f>
        <v>45938077</v>
      </c>
    </row>
    <row r="6" spans="1:18" s="3" customFormat="1" ht="15" customHeight="1">
      <c r="A6" s="85" t="s">
        <v>343</v>
      </c>
      <c r="B6" s="85" t="s">
        <v>353</v>
      </c>
      <c r="C6" s="38">
        <v>292894</v>
      </c>
      <c r="D6" s="38">
        <v>293619</v>
      </c>
      <c r="E6" s="38">
        <v>0</v>
      </c>
      <c r="F6" s="38">
        <v>0</v>
      </c>
      <c r="G6" s="38">
        <v>0</v>
      </c>
      <c r="H6" s="38">
        <v>0</v>
      </c>
      <c r="I6" s="38">
        <v>0</v>
      </c>
      <c r="J6" s="38">
        <v>0</v>
      </c>
      <c r="K6" s="38">
        <v>0</v>
      </c>
      <c r="L6" s="38">
        <v>0</v>
      </c>
      <c r="M6" s="250">
        <v>0</v>
      </c>
      <c r="N6" s="250">
        <v>0</v>
      </c>
      <c r="O6" s="302">
        <v>0</v>
      </c>
      <c r="P6" s="302">
        <v>0</v>
      </c>
      <c r="Q6" s="302">
        <v>2040169</v>
      </c>
      <c r="R6" s="302">
        <v>1415156</v>
      </c>
    </row>
    <row r="7" spans="1:18"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0">
        <v>33136741</v>
      </c>
      <c r="N7" s="250">
        <v>34540831</v>
      </c>
      <c r="O7" s="302">
        <v>34332625</v>
      </c>
      <c r="P7" s="302">
        <v>36500147</v>
      </c>
      <c r="Q7" s="302">
        <v>43389020</v>
      </c>
      <c r="R7" s="302">
        <v>44522921</v>
      </c>
    </row>
    <row r="8" spans="1:18" ht="15" customHeight="1">
      <c r="A8" s="58" t="s">
        <v>342</v>
      </c>
      <c r="B8" s="58" t="s">
        <v>352</v>
      </c>
      <c r="C8" s="38">
        <v>0</v>
      </c>
      <c r="D8" s="38">
        <v>0</v>
      </c>
      <c r="E8" s="38">
        <f t="shared" ref="E8:L8" si="2">E9</f>
        <v>1239118</v>
      </c>
      <c r="F8" s="38">
        <f t="shared" si="2"/>
        <v>1379839</v>
      </c>
      <c r="G8" s="38">
        <f t="shared" si="2"/>
        <v>1379839</v>
      </c>
      <c r="H8" s="38">
        <f t="shared" si="2"/>
        <v>82023</v>
      </c>
      <c r="I8" s="38">
        <f t="shared" si="2"/>
        <v>3279363</v>
      </c>
      <c r="J8" s="38">
        <f t="shared" si="2"/>
        <v>2299616</v>
      </c>
      <c r="K8" s="38">
        <f t="shared" si="2"/>
        <v>5999249</v>
      </c>
      <c r="L8" s="38">
        <f t="shared" si="2"/>
        <v>3214666</v>
      </c>
      <c r="M8" s="250">
        <f t="shared" ref="M8:R8" si="3">M9</f>
        <v>1939700</v>
      </c>
      <c r="N8" s="250">
        <f t="shared" si="3"/>
        <v>0</v>
      </c>
      <c r="O8" s="302">
        <f t="shared" si="3"/>
        <v>3849679</v>
      </c>
      <c r="P8" s="302">
        <f t="shared" si="3"/>
        <v>1499917</v>
      </c>
      <c r="Q8" s="302">
        <f t="shared" si="3"/>
        <v>599997</v>
      </c>
      <c r="R8" s="302">
        <f t="shared" si="3"/>
        <v>0</v>
      </c>
    </row>
    <row r="9" spans="1:18" ht="15" customHeight="1">
      <c r="A9" s="33" t="s">
        <v>343</v>
      </c>
      <c r="B9" s="33" t="s">
        <v>353</v>
      </c>
      <c r="C9" s="38">
        <v>0</v>
      </c>
      <c r="D9" s="38">
        <v>0</v>
      </c>
      <c r="E9" s="38">
        <v>1239118</v>
      </c>
      <c r="F9" s="42">
        <v>1379839</v>
      </c>
      <c r="G9" s="42">
        <v>1379839</v>
      </c>
      <c r="H9" s="38">
        <v>82023</v>
      </c>
      <c r="I9" s="38">
        <v>3279363</v>
      </c>
      <c r="J9" s="38">
        <v>2299616</v>
      </c>
      <c r="K9" s="38">
        <v>5999249</v>
      </c>
      <c r="L9" s="38">
        <v>3214666</v>
      </c>
      <c r="M9" s="250">
        <v>1939700</v>
      </c>
      <c r="N9" s="250">
        <v>0</v>
      </c>
      <c r="O9" s="302">
        <v>3849679</v>
      </c>
      <c r="P9" s="302">
        <v>1499917</v>
      </c>
      <c r="Q9" s="302">
        <v>599997</v>
      </c>
      <c r="R9" s="302">
        <v>0</v>
      </c>
    </row>
    <row r="10" spans="1:18" ht="15" customHeight="1">
      <c r="A10" s="57" t="s">
        <v>344</v>
      </c>
      <c r="B10" s="57" t="s">
        <v>354</v>
      </c>
      <c r="C10" s="38">
        <f>C11</f>
        <v>2030120</v>
      </c>
      <c r="D10" s="38">
        <f>D11</f>
        <v>2149873</v>
      </c>
      <c r="E10" s="38">
        <f>E11</f>
        <v>2162420</v>
      </c>
      <c r="F10" s="38">
        <f>F11</f>
        <v>2089741</v>
      </c>
      <c r="G10" s="38">
        <f t="shared" ref="G10:N10" si="4">G11</f>
        <v>2089741</v>
      </c>
      <c r="H10" s="38">
        <f t="shared" si="4"/>
        <v>2130263</v>
      </c>
      <c r="I10" s="38">
        <f t="shared" si="4"/>
        <v>2131693</v>
      </c>
      <c r="J10" s="38">
        <f t="shared" si="4"/>
        <v>2089119</v>
      </c>
      <c r="K10" s="38">
        <f t="shared" si="4"/>
        <v>1818672</v>
      </c>
      <c r="L10" s="38">
        <f t="shared" si="4"/>
        <v>2003010</v>
      </c>
      <c r="M10" s="250">
        <f t="shared" si="4"/>
        <v>2020675</v>
      </c>
      <c r="N10" s="250">
        <f t="shared" si="4"/>
        <v>2044743</v>
      </c>
      <c r="O10" s="302">
        <f>O11</f>
        <v>2066633</v>
      </c>
      <c r="P10" s="302">
        <f>P11</f>
        <v>2130472</v>
      </c>
      <c r="Q10" s="302">
        <f>Q11</f>
        <v>9770462</v>
      </c>
      <c r="R10" s="302">
        <f>R11</f>
        <v>14253940</v>
      </c>
    </row>
    <row r="11" spans="1:18"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0">
        <v>2020675</v>
      </c>
      <c r="N11" s="250">
        <v>2044743</v>
      </c>
      <c r="O11" s="302">
        <v>2066633</v>
      </c>
      <c r="P11" s="302">
        <v>2130472</v>
      </c>
      <c r="Q11" s="302">
        <v>9770462</v>
      </c>
      <c r="R11" s="302">
        <v>14253940</v>
      </c>
    </row>
    <row r="12" spans="1:18"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51">
        <v>177035</v>
      </c>
      <c r="N12" s="251">
        <v>187335</v>
      </c>
      <c r="O12" s="303">
        <v>194285</v>
      </c>
      <c r="P12" s="303">
        <v>181321</v>
      </c>
      <c r="Q12" s="303">
        <v>205854</v>
      </c>
      <c r="R12" s="303">
        <f>103259+436</f>
        <v>103695</v>
      </c>
    </row>
    <row r="13" spans="1:18" s="3" customFormat="1" ht="30" customHeight="1">
      <c r="A13" s="56" t="s">
        <v>688</v>
      </c>
      <c r="B13" s="59" t="s">
        <v>689</v>
      </c>
      <c r="C13" s="84"/>
      <c r="D13" s="84"/>
      <c r="E13" s="84"/>
      <c r="F13" s="63"/>
      <c r="G13" s="63"/>
      <c r="H13" s="63"/>
      <c r="I13" s="63"/>
      <c r="J13" s="63"/>
      <c r="K13" s="63"/>
      <c r="L13" s="63"/>
      <c r="M13" s="63"/>
      <c r="N13" s="63"/>
      <c r="O13" s="63"/>
      <c r="P13" s="63"/>
      <c r="Q13" s="63"/>
      <c r="R13" s="63">
        <f>R14</f>
        <v>105973</v>
      </c>
    </row>
    <row r="14" spans="1:18" s="451" customFormat="1" ht="15" customHeight="1">
      <c r="A14" s="183" t="s">
        <v>348</v>
      </c>
      <c r="B14" s="33" t="s">
        <v>359</v>
      </c>
      <c r="C14" s="452"/>
      <c r="D14" s="452"/>
      <c r="E14" s="452"/>
      <c r="F14" s="38"/>
      <c r="G14" s="38"/>
      <c r="H14" s="38"/>
      <c r="I14" s="38"/>
      <c r="J14" s="38"/>
      <c r="K14" s="38"/>
      <c r="L14" s="38"/>
      <c r="M14" s="38"/>
      <c r="N14" s="38"/>
      <c r="O14" s="38"/>
      <c r="P14" s="38"/>
      <c r="Q14" s="38"/>
      <c r="R14" s="38">
        <v>105973</v>
      </c>
    </row>
    <row r="15" spans="1:18" ht="30" customHeight="1">
      <c r="A15" s="59" t="s">
        <v>346</v>
      </c>
      <c r="B15" s="59" t="s">
        <v>357</v>
      </c>
      <c r="C15" s="84"/>
      <c r="D15" s="84"/>
      <c r="E15" s="84"/>
      <c r="F15" s="63"/>
      <c r="G15" s="63">
        <f>G17+G18</f>
        <v>812620</v>
      </c>
      <c r="H15" s="63">
        <f t="shared" ref="H15:M15" si="5">H17+H18</f>
        <v>811584</v>
      </c>
      <c r="I15" s="63">
        <f t="shared" si="5"/>
        <v>843573</v>
      </c>
      <c r="J15" s="63">
        <f t="shared" si="5"/>
        <v>841340</v>
      </c>
      <c r="K15" s="63">
        <f t="shared" si="5"/>
        <v>821538</v>
      </c>
      <c r="L15" s="63">
        <f t="shared" si="5"/>
        <v>817717</v>
      </c>
      <c r="M15" s="336">
        <f t="shared" si="5"/>
        <v>807301</v>
      </c>
      <c r="N15" s="336">
        <f>N17+N18</f>
        <v>808758</v>
      </c>
      <c r="O15" s="335">
        <f>O17+O18</f>
        <v>884912</v>
      </c>
      <c r="P15" s="335">
        <f>P17+P18</f>
        <v>881236</v>
      </c>
      <c r="Q15" s="335">
        <f>Q17+Q18</f>
        <v>801440</v>
      </c>
      <c r="R15" s="335">
        <f>R17+R18</f>
        <v>808264</v>
      </c>
    </row>
    <row r="16" spans="1:18" s="3" customFormat="1">
      <c r="A16" s="59" t="s">
        <v>393</v>
      </c>
      <c r="B16" s="59" t="s">
        <v>621</v>
      </c>
      <c r="C16" s="63">
        <f>C17+C18</f>
        <v>878321</v>
      </c>
      <c r="D16" s="63">
        <f>D17+D18</f>
        <v>888437</v>
      </c>
      <c r="E16" s="63">
        <f>E17+E18</f>
        <v>914701</v>
      </c>
      <c r="F16" s="63">
        <f>F17+F18</f>
        <v>920879</v>
      </c>
      <c r="G16" s="63"/>
      <c r="H16" s="63"/>
      <c r="I16" s="63"/>
      <c r="J16" s="63"/>
      <c r="K16" s="63"/>
      <c r="L16" s="63"/>
      <c r="M16" s="251"/>
      <c r="N16" s="251"/>
      <c r="O16" s="303"/>
      <c r="P16" s="303"/>
      <c r="Q16" s="303"/>
      <c r="R16" s="303"/>
    </row>
    <row r="17" spans="1:21" ht="15" customHeight="1">
      <c r="A17" s="33" t="s">
        <v>347</v>
      </c>
      <c r="B17" s="33" t="s">
        <v>358</v>
      </c>
      <c r="C17" s="38">
        <v>22970</v>
      </c>
      <c r="D17" s="38">
        <v>22405</v>
      </c>
      <c r="E17" s="38">
        <v>22093</v>
      </c>
      <c r="F17" s="38">
        <v>19329</v>
      </c>
      <c r="G17" s="38">
        <v>19329</v>
      </c>
      <c r="H17" s="38">
        <v>19663</v>
      </c>
      <c r="I17" s="38">
        <v>18663</v>
      </c>
      <c r="J17" s="38">
        <v>16297</v>
      </c>
      <c r="K17" s="38">
        <v>16720</v>
      </c>
      <c r="L17" s="38">
        <v>12897</v>
      </c>
      <c r="M17" s="250">
        <v>13997</v>
      </c>
      <c r="N17" s="250">
        <v>15164</v>
      </c>
      <c r="O17" s="302">
        <v>19996</v>
      </c>
      <c r="P17" s="302">
        <v>16280</v>
      </c>
      <c r="Q17" s="302">
        <v>19996</v>
      </c>
      <c r="R17" s="302">
        <v>24328</v>
      </c>
    </row>
    <row r="18" spans="1:21" ht="15" customHeight="1">
      <c r="A18" s="57" t="s">
        <v>348</v>
      </c>
      <c r="B18" s="57" t="s">
        <v>359</v>
      </c>
      <c r="C18" s="38">
        <v>855351</v>
      </c>
      <c r="D18" s="38">
        <v>866032</v>
      </c>
      <c r="E18" s="38">
        <v>892608</v>
      </c>
      <c r="F18" s="38">
        <v>901550</v>
      </c>
      <c r="G18" s="38">
        <v>793291</v>
      </c>
      <c r="H18" s="38">
        <v>791921</v>
      </c>
      <c r="I18" s="38">
        <v>824910</v>
      </c>
      <c r="J18" s="38">
        <v>825043</v>
      </c>
      <c r="K18" s="38">
        <v>804818</v>
      </c>
      <c r="L18" s="38">
        <v>804820</v>
      </c>
      <c r="M18" s="250">
        <v>793304</v>
      </c>
      <c r="N18" s="250">
        <v>793594</v>
      </c>
      <c r="O18" s="302">
        <v>864916</v>
      </c>
      <c r="P18" s="302">
        <v>864956</v>
      </c>
      <c r="Q18" s="302">
        <v>781444</v>
      </c>
      <c r="R18" s="302">
        <v>783936</v>
      </c>
    </row>
    <row r="19" spans="1:21" ht="15" customHeight="1">
      <c r="A19" s="35" t="s">
        <v>58</v>
      </c>
      <c r="B19" s="35" t="s">
        <v>43</v>
      </c>
      <c r="C19" s="191">
        <f>C4+C16</f>
        <v>25090751</v>
      </c>
      <c r="D19" s="191">
        <f>D4+D16</f>
        <v>25072507</v>
      </c>
      <c r="E19" s="191">
        <f>E4+E16</f>
        <v>25926495</v>
      </c>
      <c r="F19" s="191">
        <f>F4+F16</f>
        <v>26905088</v>
      </c>
      <c r="G19" s="192">
        <f>G3+G12+G15</f>
        <v>26889994</v>
      </c>
      <c r="H19" s="192">
        <f>H3+H12+H15</f>
        <v>27661682</v>
      </c>
      <c r="I19" s="192">
        <f>I3+I12+I13+I15</f>
        <v>33527451</v>
      </c>
      <c r="J19" s="192">
        <f t="shared" ref="J19:R19" si="6">J3+J12+J13+J15</f>
        <v>33986072</v>
      </c>
      <c r="K19" s="192">
        <f t="shared" si="6"/>
        <v>37844506</v>
      </c>
      <c r="L19" s="192">
        <f t="shared" si="6"/>
        <v>37976558</v>
      </c>
      <c r="M19" s="192">
        <f t="shared" si="6"/>
        <v>38081452</v>
      </c>
      <c r="N19" s="192">
        <f t="shared" si="6"/>
        <v>37581667</v>
      </c>
      <c r="O19" s="192">
        <f t="shared" si="6"/>
        <v>41328134</v>
      </c>
      <c r="P19" s="192">
        <f t="shared" si="6"/>
        <v>41193093</v>
      </c>
      <c r="Q19" s="192">
        <f t="shared" si="6"/>
        <v>56806942</v>
      </c>
      <c r="R19" s="192">
        <f t="shared" si="6"/>
        <v>61209949</v>
      </c>
    </row>
    <row r="20" spans="1:21" s="3" customFormat="1">
      <c r="B20" s="189"/>
      <c r="C20" s="337">
        <f>C19-BS!D11</f>
        <v>0</v>
      </c>
      <c r="D20" s="337">
        <f>D19-BS!E11</f>
        <v>0</v>
      </c>
      <c r="E20" s="337">
        <f>E19-BS!F11</f>
        <v>0</v>
      </c>
      <c r="F20" s="337">
        <f>F19-BS!G11</f>
        <v>0</v>
      </c>
      <c r="G20" s="337">
        <f>BS!H12-G19</f>
        <v>0</v>
      </c>
      <c r="H20" s="337">
        <f>H19-BS!I12</f>
        <v>0</v>
      </c>
      <c r="I20" s="337">
        <f>I19-BS!J12</f>
        <v>0</v>
      </c>
      <c r="J20" s="337">
        <f>J19-BS!K12</f>
        <v>0</v>
      </c>
      <c r="K20" s="337">
        <f>K19-BS!L12</f>
        <v>0</v>
      </c>
      <c r="L20" s="337">
        <f>L19-BS!M12</f>
        <v>0</v>
      </c>
      <c r="M20" s="337">
        <f>M19-BS!N12</f>
        <v>0</v>
      </c>
      <c r="N20" s="337">
        <f>N19-BS!O12</f>
        <v>0</v>
      </c>
      <c r="O20" s="337">
        <f>O19-BS!P12</f>
        <v>0</v>
      </c>
      <c r="P20" s="190">
        <f>BS!Q12-P19</f>
        <v>0</v>
      </c>
      <c r="Q20" s="190">
        <f>BS!R12-Q19</f>
        <v>0</v>
      </c>
      <c r="R20" s="190">
        <f>BS!S12-R19</f>
        <v>0</v>
      </c>
      <c r="S20" s="189"/>
      <c r="T20" s="189"/>
      <c r="U20" s="189"/>
    </row>
    <row r="21" spans="1:21" s="3" customFormat="1">
      <c r="B21" s="189"/>
      <c r="C21" s="189"/>
      <c r="D21" s="190"/>
      <c r="E21" s="189"/>
      <c r="F21" s="190"/>
      <c r="G21" s="245">
        <f>G20-G19</f>
        <v>-26889994</v>
      </c>
      <c r="H21" s="190"/>
      <c r="I21" s="190"/>
      <c r="J21" s="330"/>
      <c r="K21" s="189"/>
      <c r="L21" s="189"/>
      <c r="M21" s="189"/>
      <c r="N21" s="189"/>
      <c r="O21" s="189"/>
      <c r="P21" s="189"/>
      <c r="Q21" s="189"/>
      <c r="R21" s="189"/>
      <c r="S21" s="189"/>
      <c r="T21" s="189"/>
      <c r="U21" s="189"/>
    </row>
    <row r="22" spans="1:21">
      <c r="B22" s="189"/>
      <c r="C22" s="189"/>
      <c r="D22" s="190"/>
      <c r="E22" s="190"/>
      <c r="F22" s="190"/>
      <c r="G22" s="245"/>
      <c r="H22" s="190"/>
      <c r="I22" s="190"/>
      <c r="J22" s="190"/>
      <c r="K22" s="190"/>
      <c r="L22" s="190"/>
      <c r="M22" s="190"/>
      <c r="N22" s="190"/>
      <c r="O22" s="190"/>
      <c r="P22" s="189"/>
      <c r="Q22" s="189"/>
      <c r="R22" s="189"/>
      <c r="S22" s="189"/>
      <c r="T22" s="189"/>
      <c r="U22" s="189"/>
    </row>
    <row r="23" spans="1:21">
      <c r="B23" s="189"/>
      <c r="C23" s="189"/>
      <c r="D23" s="189"/>
      <c r="E23" s="189"/>
      <c r="F23" s="189"/>
      <c r="G23" s="334"/>
      <c r="H23" s="189"/>
      <c r="I23" s="189"/>
      <c r="J23" s="189"/>
      <c r="K23" s="189"/>
      <c r="L23" s="189"/>
      <c r="M23" s="189"/>
      <c r="N23" s="189"/>
      <c r="O23" s="189"/>
      <c r="P23" s="189"/>
      <c r="Q23" s="189"/>
      <c r="R23" s="189"/>
      <c r="S23" s="189"/>
      <c r="T23" s="189"/>
      <c r="U23" s="189"/>
    </row>
    <row r="24" spans="1:21" ht="15.75">
      <c r="B24" s="189"/>
      <c r="C24" s="189"/>
      <c r="D24" s="189"/>
      <c r="E24" s="189"/>
      <c r="F24" s="189"/>
      <c r="G24" s="297">
        <v>25984209</v>
      </c>
      <c r="H24" s="189"/>
      <c r="I24" s="189"/>
      <c r="J24" s="189"/>
      <c r="K24" s="189"/>
      <c r="L24" s="189"/>
      <c r="M24" s="189"/>
      <c r="N24" s="189"/>
      <c r="O24" s="189"/>
      <c r="P24" s="189"/>
      <c r="Q24" s="189"/>
      <c r="R24" s="189"/>
      <c r="S24" s="189"/>
      <c r="T24" s="189"/>
      <c r="U24" s="189"/>
    </row>
    <row r="25" spans="1:21" ht="15.75">
      <c r="B25" s="189"/>
      <c r="C25" s="189"/>
      <c r="D25" s="189"/>
      <c r="E25" s="189"/>
      <c r="F25" s="189"/>
      <c r="G25" s="297">
        <v>93165</v>
      </c>
      <c r="H25" s="189"/>
      <c r="I25" s="189"/>
      <c r="J25" s="189"/>
      <c r="K25" s="189"/>
      <c r="L25" s="189"/>
      <c r="M25" s="189"/>
      <c r="N25" s="189"/>
      <c r="O25" s="189"/>
      <c r="P25" s="189"/>
      <c r="Q25" s="189"/>
      <c r="R25" s="189"/>
      <c r="S25" s="189"/>
      <c r="T25" s="189"/>
      <c r="U25" s="189"/>
    </row>
    <row r="26" spans="1:21" ht="15.75">
      <c r="B26" s="189"/>
      <c r="C26" s="189"/>
      <c r="D26" s="189"/>
      <c r="E26" s="189"/>
      <c r="F26" s="189"/>
      <c r="G26" s="297">
        <v>812620</v>
      </c>
      <c r="H26" s="189"/>
      <c r="I26" s="189"/>
      <c r="J26" s="190"/>
      <c r="K26" s="189"/>
      <c r="L26" s="189"/>
      <c r="M26" s="189"/>
      <c r="N26" s="189"/>
      <c r="O26" s="189"/>
      <c r="P26" s="189"/>
      <c r="Q26" s="189"/>
      <c r="R26" s="189"/>
      <c r="S26" s="189"/>
      <c r="T26" s="189"/>
      <c r="U26" s="189"/>
    </row>
    <row r="27" spans="1:21">
      <c r="C27" s="189"/>
      <c r="D27" s="189"/>
      <c r="E27" s="189"/>
      <c r="F27" s="189"/>
      <c r="G27" s="334"/>
      <c r="H27" s="189"/>
      <c r="I27" s="189"/>
      <c r="J27" s="190"/>
      <c r="K27" s="189"/>
      <c r="L27" s="189"/>
      <c r="M27" s="189"/>
      <c r="N27" s="189"/>
      <c r="O27" s="189"/>
      <c r="P27" s="320"/>
    </row>
    <row r="28" spans="1:21">
      <c r="C28" s="189"/>
      <c r="D28" s="189"/>
      <c r="E28" s="189"/>
      <c r="F28" s="189"/>
      <c r="G28" s="334"/>
      <c r="H28" s="189"/>
      <c r="I28" s="189"/>
      <c r="J28" s="189"/>
      <c r="K28" s="189"/>
      <c r="L28" s="189"/>
      <c r="M28" s="189"/>
      <c r="N28" s="189"/>
      <c r="O28" s="189"/>
      <c r="P28" s="320"/>
    </row>
    <row r="29" spans="1:21">
      <c r="C29" s="189"/>
      <c r="D29" s="189"/>
      <c r="E29" s="189"/>
      <c r="F29" s="189"/>
      <c r="G29" s="189"/>
      <c r="H29" s="189"/>
      <c r="I29" s="189"/>
      <c r="J29" s="189"/>
      <c r="K29" s="189"/>
      <c r="L29" s="189"/>
      <c r="M29" s="189"/>
      <c r="N29" s="189"/>
      <c r="O29" s="189"/>
      <c r="P29" s="320"/>
    </row>
    <row r="30" spans="1:21">
      <c r="C30" s="189"/>
      <c r="D30" s="189"/>
      <c r="E30" s="189"/>
      <c r="F30" s="189"/>
      <c r="G30" s="189"/>
      <c r="H30" s="189"/>
      <c r="I30" s="189"/>
      <c r="J30" s="189"/>
      <c r="K30" s="189"/>
      <c r="L30" s="189"/>
      <c r="M30" s="189"/>
      <c r="N30" s="189"/>
      <c r="O30" s="189"/>
      <c r="P30" s="320"/>
    </row>
    <row r="31" spans="1:21">
      <c r="C31" s="189"/>
      <c r="D31" s="189"/>
      <c r="E31" s="189"/>
      <c r="F31" s="189"/>
      <c r="G31" s="189"/>
      <c r="H31" s="189"/>
      <c r="I31" s="189"/>
      <c r="J31" s="189"/>
      <c r="K31" s="189"/>
      <c r="L31" s="189"/>
      <c r="M31" s="189"/>
      <c r="N31" s="189"/>
      <c r="O31" s="189"/>
      <c r="P31" s="320"/>
    </row>
    <row r="32" spans="1:21">
      <c r="C32" s="189"/>
      <c r="D32" s="189"/>
      <c r="E32" s="189"/>
      <c r="F32" s="189"/>
      <c r="G32" s="189"/>
      <c r="H32" s="189"/>
      <c r="I32" s="189"/>
      <c r="J32" s="189"/>
      <c r="K32" s="189"/>
      <c r="L32" s="189"/>
      <c r="M32" s="189"/>
      <c r="N32" s="189"/>
      <c r="O32" s="189"/>
    </row>
    <row r="33" spans="3:15">
      <c r="C33" s="189"/>
      <c r="D33" s="189"/>
      <c r="E33" s="189"/>
      <c r="F33" s="189"/>
      <c r="G33" s="189"/>
      <c r="H33" s="189"/>
      <c r="I33" s="189"/>
      <c r="J33" s="189"/>
      <c r="K33" s="189"/>
      <c r="L33" s="189"/>
      <c r="M33" s="189"/>
      <c r="N33" s="189"/>
      <c r="O33" s="189"/>
    </row>
  </sheetData>
  <customSheetViews>
    <customSheetView guid="{746490BF-9C44-4B41-8803-BEC9E453576A}">
      <pane xSplit="2" ySplit="2" topLeftCell="C3" activePane="bottomRight" state="frozen"/>
      <selection pane="bottomRight" activeCell="C3" sqref="C3"/>
      <pageMargins left="0.7" right="0.7" top="0.75" bottom="0.75" header="0.3" footer="0.3"/>
    </customSheetView>
    <customSheetView guid="{9AF4A83C-CF57-4B40-8A74-6A0EA6C2FE5C}" hiddenColumns="1">
      <selection activeCell="P23" sqref="P23"/>
      <pageMargins left="0.7" right="0.7" top="0.75" bottom="0.75" header="0.3" footer="0.3"/>
      <pageSetup paperSize="9" orientation="portrait" horizontalDpi="1200" verticalDpi="1200" r:id="rId1"/>
    </customSheetView>
    <customSheetView guid="{899D69CD-4B7E-42BC-9944-5BD922EB798C}" topLeftCell="I1">
      <selection activeCell="H12" sqref="H12"/>
      <pageMargins left="0.7" right="0.7" top="0.75" bottom="0.75" header="0.3" footer="0.3"/>
    </customSheetView>
    <customSheetView guid="{25FAB884-5E17-4008-8139-33D910C7DEFE}" topLeftCell="B1">
      <selection activeCell="H31" sqref="H31"/>
      <pageMargins left="0.7" right="0.7" top="0.75" bottom="0.75" header="0.3" footer="0.3"/>
    </customSheetView>
    <customSheetView guid="{8DA78CF1-615A-4626-9893-6751995631A4}" scale="4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2"/>
    </customSheetView>
    <customSheetView guid="{687A4863-1825-4D63-B732-E76682E6DE4F}" scale="42">
      <selection activeCell="B3" sqref="B3"/>
      <pageMargins left="0.7" right="0.7" top="0.75" bottom="0.75" header="0.3" footer="0.3"/>
    </customSheetView>
    <customSheetView guid="{12F8D032-8143-430B-8DFF-852E8796C402}">
      <selection activeCell="B3" sqref="B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Jakość należności od klientów </vt:lpstr>
      <vt:lpstr>Arkusz2</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2020-10-26T16:36:36Z</dcterms:modified>
</cp:coreProperties>
</file>