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0.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0.xml" ContentType="application/vnd.openxmlformats-officedocument.spreadsheetml.revisionLog+xml"/>
  <Override PartName="/xl/revisions/revisionLog5.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7.xml" ContentType="application/vnd.openxmlformats-officedocument.spreadsheetml.revisionLog+xml"/>
  <Override PartName="/xl/revisions/revisionLog29.xml" ContentType="application/vnd.openxmlformats-officedocument.spreadsheetml.revisionLog+xml"/>
  <Override PartName="/xl/revisions/revisionLog12.xml" ContentType="application/vnd.openxmlformats-officedocument.spreadsheetml.revisionLog+xml"/>
  <Override PartName="/xl/revisions/revisionLog3.xml" ContentType="application/vnd.openxmlformats-officedocument.spreadsheetml.revisionLog+xml"/>
  <Override PartName="/xl/revisions/revisionLog8.xml" ContentType="application/vnd.openxmlformats-officedocument.spreadsheetml.revisionLog+xml"/>
  <Override PartName="/xl/revisions/revisionLog11.xml" ContentType="application/vnd.openxmlformats-officedocument.spreadsheetml.revisionLog+xml"/>
  <Override PartName="/xl/revisions/revisionLog16.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xl/revisions/revisionLog15.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4.xml" ContentType="application/vnd.openxmlformats-officedocument.spreadsheetml.revisionLog+xml"/>
  <Override PartName="/xl/revisions/revisionLog1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1\Prezentacja 1Q 2021\"/>
    </mc:Choice>
  </mc:AlternateContent>
  <bookViews>
    <workbookView xWindow="0" yWindow="0" windowWidth="9600" windowHeight="3300" tabRatio="831"/>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Pozostałe koszty operacyjne" sheetId="15" r:id="rId11"/>
    <sheet name="Pozostałe przychody operacyjne" sheetId="14" r:id="rId12"/>
    <sheet name="Zobowiązania wobec klientów" sheetId="11" r:id="rId13"/>
    <sheet name="Należn. i zob. od banków" sheetId="12" r:id="rId14"/>
    <sheet name="Aktywa i zobow. fin. do obrotu" sheetId="13" r:id="rId15"/>
    <sheet name="Rezerwy_RZiS _Q (2)" sheetId="16" state="hidden" r:id="rId16"/>
    <sheet name="Wskaźniki " sheetId="17" r:id="rId17"/>
    <sheet name="Jakość należności od klientów " sheetId="18" r:id="rId18"/>
    <sheet name="Wybrane dane niefinansowe " sheetId="20" r:id="rId19"/>
    <sheet name="Arkusz2" sheetId="19" state="hidden" r:id="rId20"/>
    <sheet name="Arkusz1" sheetId="2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BS!$C$1:$D$50</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BS!$C$1:$D$50</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4" hidden="1">'Aktywa i zobow. fin. do obrotu'!$M:$P</definedName>
    <definedName name="Z_12F8D032_8143_430B_8DFF_852E8796C402_.wvu.PrintArea" localSheetId="1" hidden="1">BS!$A$1:$P$50</definedName>
    <definedName name="Z_1DA1E639_C769_4176_9561_FF9CB01F8119_.wvu.Cols" localSheetId="3" hidden="1">'Przychody prowizyjne'!#REF!</definedName>
    <definedName name="Z_25FAB884_5E17_4008_8139_33D910C7DEFE_.wvu.PrintArea" localSheetId="1" hidden="1">BS!$A$1:$P$50</definedName>
    <definedName name="Z_2A0EA35A_7F53_4AD8_895C_C234D094A4A4_.wvu.Cols" localSheetId="0" hidden="1">'P&amp;L'!$C:$J</definedName>
    <definedName name="Z_2A0EA35A_7F53_4AD8_895C_C234D094A4A4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3"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'P&amp;L'!#REF!</definedName>
    <definedName name="Z_687A4863_1825_4D63_B732_E76682E6DE4F_.wvu.Cols" localSheetId="14" hidden="1">'Aktywa i zobow. fin. do obrotu'!$M:$P</definedName>
    <definedName name="Z_687A4863_1825_4D63_B732_E76682E6DE4F_.wvu.Cols" localSheetId="1" hidden="1">BS!$S:$S</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prowizyjne'!$B$2:$B$50</definedName>
    <definedName name="Z_899D69CD_4B7E_42BC_9944_5BD922EB798C_.wvu.Cols" localSheetId="3" hidden="1">'Przychody prowizyjne'!$C:$K</definedName>
    <definedName name="Z_899D69CD_4B7E_42BC_9944_5BD922EB798C_.wvu.PrintArea" localSheetId="1" hidden="1">BS!$A$1:$P$50</definedName>
    <definedName name="Z_899D69CD_4B7E_42BC_9944_5BD922EB798C_.wvu.Rows" localSheetId="7" hidden="1">'Należności od klientów'!$8:$8</definedName>
    <definedName name="Z_8DA78CF1_615A_4626_9893_6751995631A4_.wvu.Cols" localSheetId="14" hidden="1">'Aktywa i zobow. fin. do obrotu'!$D:$N,'Aktywa i zobow. fin. do obrotu'!$P:$P</definedName>
    <definedName name="Z_8DA78CF1_615A_4626_9893_6751995631A4_.wvu.Cols" localSheetId="1" hidden="1">BS!$D:$O</definedName>
    <definedName name="Z_8DA78CF1_615A_4626_9893_6751995631A4_.wvu.Cols" localSheetId="8" hidden="1">'Inwestycyjne aktywa finansowe'!$C:$O</definedName>
    <definedName name="Z_8DA78CF1_615A_4626_9893_6751995631A4_.wvu.Cols" localSheetId="0" hidden="1">'P&amp;L'!$C:$J</definedName>
    <definedName name="Z_8DA78CF1_615A_4626_9893_6751995631A4_.wvu.Cols" localSheetId="5" hidden="1">'Wynik handlowy'!$C:$F</definedName>
    <definedName name="Z_8DA78CF1_615A_4626_9893_6751995631A4_.wvu.Cols" localSheetId="6" hidden="1">'Wynik inwestycyjny'!$C:$N</definedName>
    <definedName name="Z_8DA78CF1_615A_4626_9893_6751995631A4_.wvu.PrintArea" localSheetId="1" hidden="1">BS!$A$1:$P$50</definedName>
    <definedName name="Z_9788B417_CC07_4FDA_845B_D10161BBB5F4_.wvu.Rows" localSheetId="18" hidden="1">'Wybrane dane niefinansowe '!#REF!,'Wybrane dane niefinansowe '!#REF!</definedName>
    <definedName name="Z_9AF4A83C_CF57_4B40_8A74_6A0EA6C2FE5C_.wvu.Cols" localSheetId="14" hidden="1">'Aktywa i zobow. fin. do obrotu'!$D:$N,'Aktywa i zobow. fin. do obrotu'!$P:$P</definedName>
    <definedName name="Z_9AF4A83C_CF57_4B40_8A74_6A0EA6C2FE5C_.wvu.Cols" localSheetId="1" hidden="1">BS!$D:$O</definedName>
    <definedName name="Z_9AF4A83C_CF57_4B40_8A74_6A0EA6C2FE5C_.wvu.Cols" localSheetId="8" hidden="1">'Inwestycyjne aktywa finansowe'!$C:$O</definedName>
    <definedName name="Z_9AF4A83C_CF57_4B40_8A74_6A0EA6C2FE5C_.wvu.Cols" localSheetId="0" hidden="1">'P&amp;L'!$C:$J</definedName>
    <definedName name="Z_9AF4A83C_CF57_4B40_8A74_6A0EA6C2FE5C_.wvu.Cols" localSheetId="5" hidden="1">'Wynik handlowy'!$C:$F</definedName>
    <definedName name="Z_9AF4A83C_CF57_4B40_8A74_6A0EA6C2FE5C_.wvu.Cols" localSheetId="6" hidden="1">'Wynik inwestycyjny'!$C:$N</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BS!$C$1:$D$50</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BS!$23:$23,BS!#REF!,BS!#REF!</definedName>
    <definedName name="Z_ED54A16F_4B72_4859_9335_463F05020B50_.wvu.PrintArea" localSheetId="1" hidden="1">BS!$C$1:$D$50</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Dowżycka Agnieszka - Widok osobisty" guid="{2A0EA35A-7F53-4AD8-895C-C234D094A4A4}" mergeInterval="0" personalView="1" xWindow="-1" windowWidth="1575" windowHeight="1042" tabRatio="831" activeSheetId="1"/>
    <customWorkbookView name="Dziadczyk Marzena - Widok osobisty" guid="{8DA78CF1-615A-4626-9893-6751995631A4}" mergeInterval="0" personalView="1" maximized="1" xWindow="-11" yWindow="-11" windowWidth="1942" windowHeight="1042" activeSheetId="5"/>
    <customWorkbookView name="Chudyma Marta - Widok osobisty" guid="{899D69CD-4B7E-42BC-9944-5BD922EB798C}" mergeInterval="0" personalView="1" xWindow="125" yWindow="21" windowWidth="1569" windowHeight="938" tabRatio="655" activeSheetId="8"/>
    <customWorkbookView name="Kosowska Bożena - Widok osobisty" guid="{25FAB884-5E17-4008-8139-33D910C7DEFE}" mergeInterval="0" personalView="1" maximized="1" xWindow="-1928" yWindow="242" windowWidth="1552" windowHeight="840" tabRatio="655" activeSheetId="7"/>
    <customWorkbookView name="Cieciura Dorota - Widok osobisty" guid="{57267270-6A97-4850-9DB6-FE6B399379AA}" mergeInterval="0" personalView="1" maximized="1" xWindow="-9" yWindow="-9" windowWidth="1938" windowHeight="1048" activeSheetId="11"/>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złowska Agnieszka B - Widok osobisty" guid="{687A4863-1825-4D63-B732-E76682E6DE4F}" mergeInterval="0" personalView="1" maximized="1" xWindow="-11" yWindow="-11" windowWidth="1942" windowHeight="1042" tabRatio="820" activeSheetId="4"/>
    <customWorkbookView name="Stadler Dorota - Widok osobisty" guid="{9AF4A83C-CF57-4B40-8A74-6A0EA6C2FE5C}" mergeInterval="0" personalView="1" maximized="1" xWindow="-8" yWindow="-8" windowWidth="1936" windowHeight="1056" activeSheetId="1"/>
    <customWorkbookView name="Słaba Dorota - Widok osobisty" guid="{12F8D032-8143-430B-8DFF-852E8796C402}" mergeInterval="0" personalView="1" maximized="1" xWindow="2869" yWindow="-11" windowWidth="2902" windowHeight="1582" activeSheetId="20"/>
  </customWorkbookViews>
</workbook>
</file>

<file path=xl/calcChain.xml><?xml version="1.0" encoding="utf-8"?>
<calcChain xmlns="http://schemas.openxmlformats.org/spreadsheetml/2006/main">
  <c r="L16" i="18" l="1"/>
  <c r="K16" i="18"/>
  <c r="G16" i="18"/>
  <c r="F16" i="18"/>
  <c r="L15" i="18"/>
  <c r="L17" i="18" s="1"/>
  <c r="K15" i="18"/>
  <c r="K17" i="18" s="1"/>
  <c r="G15" i="18"/>
  <c r="G17" i="18" s="1"/>
  <c r="F15" i="18"/>
  <c r="F17" i="18" s="1"/>
  <c r="S16" i="20"/>
  <c r="S12" i="14" l="1"/>
  <c r="O18" i="10" l="1"/>
  <c r="O13" i="10"/>
  <c r="O8" i="10"/>
  <c r="O3" i="10"/>
  <c r="S10" i="8"/>
  <c r="S12" i="8" s="1"/>
  <c r="O23" i="10" l="1"/>
  <c r="C27" i="3"/>
  <c r="D27" i="3"/>
  <c r="E27" i="3"/>
  <c r="F27" i="3"/>
  <c r="G27" i="3"/>
  <c r="H27" i="3"/>
  <c r="I27" i="3"/>
  <c r="J27" i="3"/>
  <c r="K27" i="3"/>
  <c r="L27" i="3"/>
  <c r="M27" i="3"/>
  <c r="N27" i="3"/>
  <c r="O27" i="3"/>
  <c r="P27" i="3"/>
  <c r="Q27" i="3"/>
  <c r="R27" i="3"/>
  <c r="S27" i="3"/>
  <c r="S13" i="14" l="1"/>
  <c r="S10" i="6"/>
  <c r="T38" i="13" l="1"/>
  <c r="T27" i="13"/>
  <c r="T32" i="13" s="1"/>
  <c r="T21" i="13"/>
  <c r="T18" i="13"/>
  <c r="T26" i="13" s="1"/>
  <c r="T35" i="13" s="1"/>
  <c r="T12" i="13"/>
  <c r="T10" i="13"/>
  <c r="T8" i="13"/>
  <c r="T2" i="13"/>
  <c r="T39" i="13" l="1"/>
  <c r="T7" i="13"/>
  <c r="T6" i="13" s="1"/>
  <c r="T15" i="13" s="1"/>
  <c r="T22" i="13" s="1"/>
  <c r="S11" i="7"/>
  <c r="S8" i="7"/>
  <c r="T15" i="9"/>
  <c r="T13" i="9"/>
  <c r="T10" i="9"/>
  <c r="T8" i="9"/>
  <c r="T5" i="9"/>
  <c r="S12" i="7" l="1"/>
  <c r="S13" i="7" s="1"/>
  <c r="T3" i="9"/>
  <c r="T19" i="9" s="1"/>
  <c r="S11" i="15"/>
  <c r="Q27" i="2" l="1"/>
  <c r="P27" i="2"/>
  <c r="R40" i="2"/>
  <c r="Q40" i="2"/>
  <c r="P40" i="2"/>
  <c r="R42" i="2" l="1"/>
  <c r="R49" i="2" s="1"/>
  <c r="Q42" i="2"/>
  <c r="Q49" i="2" s="1"/>
  <c r="P42" i="2"/>
  <c r="P49" i="2" s="1"/>
  <c r="S4" i="12" l="1"/>
  <c r="S33" i="5"/>
  <c r="S31" i="5"/>
  <c r="S12" i="5"/>
  <c r="S9" i="5"/>
  <c r="S4" i="3"/>
  <c r="S22" i="3"/>
  <c r="S19" i="3"/>
  <c r="S11" i="3"/>
  <c r="S10" i="3"/>
  <c r="S9" i="3"/>
  <c r="S8" i="3"/>
  <c r="S7" i="3"/>
  <c r="S6" i="3"/>
  <c r="S5" i="3"/>
  <c r="S3" i="3"/>
  <c r="S2" i="3" l="1"/>
  <c r="S36" i="3" s="1"/>
  <c r="S12" i="12"/>
  <c r="S8" i="12"/>
  <c r="S6" i="12"/>
  <c r="S13" i="11"/>
  <c r="S7" i="11"/>
  <c r="S3" i="11"/>
  <c r="S47" i="4"/>
  <c r="S46" i="4"/>
  <c r="S45" i="4"/>
  <c r="S44" i="4"/>
  <c r="S55" i="4" s="1"/>
  <c r="S43" i="4"/>
  <c r="S61" i="4" s="1"/>
  <c r="S42" i="4"/>
  <c r="S53" i="4" s="1"/>
  <c r="S41" i="4"/>
  <c r="S54" i="4" s="1"/>
  <c r="S40" i="4"/>
  <c r="S39" i="4"/>
  <c r="S59" i="4" s="1"/>
  <c r="S38" i="4"/>
  <c r="S58" i="4" s="1"/>
  <c r="S37" i="4"/>
  <c r="S36" i="4"/>
  <c r="S35" i="4"/>
  <c r="S57" i="4" s="1"/>
  <c r="S34" i="4"/>
  <c r="S51" i="4" s="1"/>
  <c r="S29" i="4"/>
  <c r="S15" i="4"/>
  <c r="U42" i="2"/>
  <c r="U49" i="2" s="1"/>
  <c r="U40" i="2"/>
  <c r="U12" i="2"/>
  <c r="T20" i="9" s="1"/>
  <c r="U6" i="2"/>
  <c r="U27" i="2" l="1"/>
  <c r="S31" i="4"/>
  <c r="S48" i="4"/>
  <c r="S17" i="11"/>
  <c r="S60" i="4"/>
  <c r="S62" i="4"/>
  <c r="S56" i="4"/>
  <c r="U50" i="2"/>
  <c r="B10" i="11"/>
  <c r="S63" i="4" l="1"/>
  <c r="R13" i="3"/>
  <c r="R24" i="3"/>
  <c r="N18" i="10" l="1"/>
  <c r="N13" i="10"/>
  <c r="N8" i="10"/>
  <c r="R10" i="8"/>
  <c r="R12" i="8" s="1"/>
  <c r="N3" i="10" l="1"/>
  <c r="N23" i="10"/>
  <c r="R4" i="12"/>
  <c r="R6" i="12" s="1"/>
  <c r="R8" i="12"/>
  <c r="R12" i="12"/>
  <c r="R13" i="14"/>
  <c r="R4" i="3"/>
  <c r="R22" i="3"/>
  <c r="R19" i="3"/>
  <c r="R11" i="3"/>
  <c r="R5" i="3"/>
  <c r="R6" i="3"/>
  <c r="R7" i="3"/>
  <c r="R8" i="3"/>
  <c r="R9" i="3"/>
  <c r="R10" i="3"/>
  <c r="R3" i="3" l="1"/>
  <c r="R2" i="3" s="1"/>
  <c r="R36" i="3" l="1"/>
  <c r="R9" i="5" l="1"/>
  <c r="R12" i="5"/>
  <c r="R31" i="5"/>
  <c r="R33" i="5"/>
  <c r="R10" i="6" l="1"/>
  <c r="R13" i="11" l="1"/>
  <c r="R7" i="11"/>
  <c r="R3" i="11"/>
  <c r="R17" i="11" l="1"/>
  <c r="R11" i="15"/>
  <c r="R47" i="4" l="1"/>
  <c r="R37" i="4"/>
  <c r="R56" i="4" s="1"/>
  <c r="R15" i="4"/>
  <c r="R40" i="4"/>
  <c r="R44" i="4"/>
  <c r="R55" i="4" s="1"/>
  <c r="R46" i="4"/>
  <c r="R35" i="4"/>
  <c r="R57" i="4" s="1"/>
  <c r="R45" i="4"/>
  <c r="R43" i="4"/>
  <c r="R61" i="4" s="1"/>
  <c r="R41" i="4"/>
  <c r="R54" i="4" s="1"/>
  <c r="R38" i="4"/>
  <c r="R58" i="4" s="1"/>
  <c r="R36" i="4"/>
  <c r="R34" i="4"/>
  <c r="R51" i="4" s="1"/>
  <c r="R29" i="4"/>
  <c r="R60" i="4" l="1"/>
  <c r="U36" i="4"/>
  <c r="R62" i="4"/>
  <c r="R31" i="4"/>
  <c r="R42" i="4"/>
  <c r="R53" i="4" s="1"/>
  <c r="R39" i="4"/>
  <c r="R59" i="4" s="1"/>
  <c r="R63" i="4" l="1"/>
  <c r="R48" i="4"/>
  <c r="S38" i="13" l="1"/>
  <c r="S27" i="13"/>
  <c r="S32" i="13" s="1"/>
  <c r="S21" i="13"/>
  <c r="S18" i="13"/>
  <c r="S26" i="13" s="1"/>
  <c r="S35" i="13" s="1"/>
  <c r="S12" i="13"/>
  <c r="S10" i="13"/>
  <c r="S8" i="13"/>
  <c r="S2" i="13"/>
  <c r="S15" i="9"/>
  <c r="S13" i="9"/>
  <c r="S10" i="9"/>
  <c r="S8" i="9"/>
  <c r="S5" i="9"/>
  <c r="R11" i="7"/>
  <c r="R8" i="7"/>
  <c r="S7" i="13" l="1"/>
  <c r="S6" i="13" s="1"/>
  <c r="S15" i="13" s="1"/>
  <c r="S3" i="9"/>
  <c r="S19" i="9" s="1"/>
  <c r="R12" i="7"/>
  <c r="R13" i="7" s="1"/>
  <c r="R27" i="2"/>
  <c r="S39" i="13" l="1"/>
  <c r="S22" i="13"/>
  <c r="T12" i="2" l="1"/>
  <c r="S20" i="9" s="1"/>
  <c r="T6" i="2"/>
  <c r="T27" i="2" s="1"/>
  <c r="T42" i="2"/>
  <c r="T49" i="2" s="1"/>
  <c r="T40" i="2"/>
  <c r="T50" i="2" l="1"/>
  <c r="Q16" i="11" l="1"/>
  <c r="M18" i="10" l="1"/>
  <c r="M13" i="10"/>
  <c r="M8" i="10"/>
  <c r="M3" i="10"/>
  <c r="Q10" i="8"/>
  <c r="Q12" i="8" s="1"/>
  <c r="M23" i="10" l="1"/>
  <c r="Q10" i="6"/>
  <c r="Q13" i="14" l="1"/>
  <c r="Q11" i="15"/>
  <c r="Q13" i="11"/>
  <c r="Q7" i="11"/>
  <c r="Q3" i="11"/>
  <c r="Q17" i="11" l="1"/>
  <c r="N11" i="15" l="1"/>
  <c r="Q46" i="4" l="1"/>
  <c r="Q45" i="4"/>
  <c r="Q44" i="4"/>
  <c r="Q55" i="4" s="1"/>
  <c r="Q43" i="4"/>
  <c r="Q61" i="4" s="1"/>
  <c r="Q42" i="4"/>
  <c r="Q53" i="4" s="1"/>
  <c r="Q41" i="4"/>
  <c r="Q54" i="4" s="1"/>
  <c r="Q40" i="4"/>
  <c r="Q39" i="4"/>
  <c r="Q59" i="4" s="1"/>
  <c r="Q38" i="4"/>
  <c r="Q58" i="4" s="1"/>
  <c r="Q37" i="4"/>
  <c r="Q56" i="4" s="1"/>
  <c r="Q36" i="4"/>
  <c r="Q35" i="4"/>
  <c r="Q34" i="4"/>
  <c r="Q51" i="4" s="1"/>
  <c r="Q15" i="4"/>
  <c r="Q47" i="4" l="1"/>
  <c r="Q62" i="4" s="1"/>
  <c r="Q60" i="4"/>
  <c r="Q57" i="4"/>
  <c r="Q29" i="4"/>
  <c r="Q31" i="4" s="1"/>
  <c r="R38" i="13"/>
  <c r="R27" i="13"/>
  <c r="R32" i="13" s="1"/>
  <c r="R21" i="13"/>
  <c r="R18" i="13"/>
  <c r="R26" i="13" s="1"/>
  <c r="R35" i="13" s="1"/>
  <c r="R12" i="13"/>
  <c r="R10" i="13"/>
  <c r="R8" i="13"/>
  <c r="R2" i="13"/>
  <c r="R13" i="9"/>
  <c r="R12" i="9"/>
  <c r="R15" i="9"/>
  <c r="R10" i="9"/>
  <c r="R8" i="9"/>
  <c r="R5" i="9"/>
  <c r="Q48" i="4" l="1"/>
  <c r="Q63" i="4"/>
  <c r="R39" i="13"/>
  <c r="R7" i="13"/>
  <c r="R6" i="13" s="1"/>
  <c r="R15" i="13" s="1"/>
  <c r="R22" i="13" s="1"/>
  <c r="R3" i="9"/>
  <c r="R19" i="9" s="1"/>
  <c r="R20" i="9" s="1"/>
  <c r="Q33" i="5" l="1"/>
  <c r="Q31" i="5"/>
  <c r="Q12" i="5"/>
  <c r="Q9" i="5"/>
  <c r="Q12" i="12"/>
  <c r="Q8" i="12"/>
  <c r="Q4" i="12"/>
  <c r="Q6" i="12" s="1"/>
  <c r="Q22" i="3"/>
  <c r="Q19" i="3"/>
  <c r="Q11" i="3"/>
  <c r="Q10" i="3"/>
  <c r="Q9" i="3"/>
  <c r="Q8" i="3"/>
  <c r="Q7" i="3"/>
  <c r="Q6" i="3"/>
  <c r="Q5" i="3"/>
  <c r="Q4" i="3"/>
  <c r="Q3" i="3"/>
  <c r="Q2" i="3" s="1"/>
  <c r="Q36" i="3" s="1"/>
  <c r="Q11" i="7"/>
  <c r="Q8" i="7"/>
  <c r="Q12" i="7" l="1"/>
  <c r="Q13" i="7" s="1"/>
  <c r="S27" i="2"/>
  <c r="G17" i="2"/>
  <c r="F17" i="2"/>
  <c r="E17" i="2"/>
  <c r="D17" i="2"/>
  <c r="S40" i="2"/>
  <c r="S42" i="2"/>
  <c r="S49" i="2" s="1"/>
  <c r="S50" i="2" l="1"/>
  <c r="P10" i="8"/>
  <c r="P12" i="8" s="1"/>
  <c r="L24" i="10" l="1"/>
  <c r="K24" i="10"/>
  <c r="L18" i="10"/>
  <c r="L13" i="10"/>
  <c r="L8" i="10"/>
  <c r="L3" i="10"/>
  <c r="L23" i="10" l="1"/>
  <c r="P10" i="6"/>
  <c r="P33" i="5" l="1"/>
  <c r="Q10" i="13"/>
  <c r="Q8" i="13"/>
  <c r="Q21" i="13"/>
  <c r="Q18" i="13"/>
  <c r="Q26" i="13" s="1"/>
  <c r="Q35" i="13" s="1"/>
  <c r="Q12" i="13"/>
  <c r="Q10" i="9"/>
  <c r="Q8" i="9"/>
  <c r="P11" i="7" l="1"/>
  <c r="P8" i="7"/>
  <c r="P12" i="7" s="1"/>
  <c r="P13" i="7" s="1"/>
  <c r="Q38" i="13"/>
  <c r="Q27" i="13"/>
  <c r="Q32" i="13" s="1"/>
  <c r="Q7" i="13"/>
  <c r="Q6" i="13" s="1"/>
  <c r="Q2" i="13"/>
  <c r="Q15" i="9"/>
  <c r="Q5" i="9"/>
  <c r="Q3" i="9" s="1"/>
  <c r="P12" i="12"/>
  <c r="P4" i="12"/>
  <c r="P6" i="12" s="1"/>
  <c r="P8" i="12"/>
  <c r="P31" i="5"/>
  <c r="P12" i="5"/>
  <c r="P9" i="5"/>
  <c r="P3" i="3"/>
  <c r="P4" i="3"/>
  <c r="P5" i="3"/>
  <c r="P6" i="3"/>
  <c r="P7" i="3"/>
  <c r="P8" i="3"/>
  <c r="P9" i="3"/>
  <c r="P10" i="3"/>
  <c r="Q19" i="9" l="1"/>
  <c r="Q20" i="9" s="1"/>
  <c r="Q15" i="13"/>
  <c r="Q22" i="13" s="1"/>
  <c r="Q39" i="13"/>
  <c r="P22" i="3"/>
  <c r="P19" i="3"/>
  <c r="P11" i="3"/>
  <c r="P2" i="3"/>
  <c r="P36" i="3" l="1"/>
  <c r="P11" i="15" l="1"/>
  <c r="P13" i="14" l="1"/>
  <c r="O13" i="11"/>
  <c r="P13" i="11"/>
  <c r="O7" i="11"/>
  <c r="P7" i="11"/>
  <c r="O3" i="11"/>
  <c r="P3" i="11"/>
  <c r="P46" i="4"/>
  <c r="P45" i="4"/>
  <c r="P44" i="4"/>
  <c r="P43" i="4"/>
  <c r="P42" i="4"/>
  <c r="P41" i="4"/>
  <c r="P40" i="4"/>
  <c r="P39" i="4"/>
  <c r="P38" i="4"/>
  <c r="P37" i="4"/>
  <c r="P36" i="4"/>
  <c r="P35" i="4"/>
  <c r="O17" i="11" l="1"/>
  <c r="P17" i="11"/>
  <c r="P28" i="4" l="1"/>
  <c r="P47" i="4" s="1"/>
  <c r="P48" i="4" s="1"/>
  <c r="P61" i="4"/>
  <c r="P60" i="4"/>
  <c r="P59" i="4"/>
  <c r="P58" i="4"/>
  <c r="P57" i="4"/>
  <c r="P56" i="4"/>
  <c r="P55" i="4"/>
  <c r="P54" i="4"/>
  <c r="P53" i="4"/>
  <c r="P34" i="4"/>
  <c r="P51" i="4" s="1"/>
  <c r="P29" i="4"/>
  <c r="P15" i="4"/>
  <c r="P62" i="4" l="1"/>
  <c r="P63" i="4" s="1"/>
  <c r="P31" i="4"/>
  <c r="K3" i="10" l="1"/>
  <c r="K13" i="10"/>
  <c r="K8" i="10"/>
  <c r="K18" i="10"/>
  <c r="O10" i="8"/>
  <c r="O12" i="8" s="1"/>
  <c r="K23" i="10" l="1"/>
  <c r="O10" i="6"/>
  <c r="O11" i="15" l="1"/>
  <c r="O13" i="14" l="1"/>
  <c r="O17" i="3" l="1"/>
  <c r="O15" i="3"/>
  <c r="O13" i="3"/>
  <c r="O29" i="3"/>
  <c r="O28" i="3"/>
  <c r="O24" i="3" l="1"/>
  <c r="O4" i="3" s="1"/>
  <c r="O12" i="12" l="1"/>
  <c r="O8" i="12"/>
  <c r="O2" i="12"/>
  <c r="O4" i="12" s="1"/>
  <c r="O6" i="12" s="1"/>
  <c r="O35" i="5"/>
  <c r="O33" i="5" s="1"/>
  <c r="O28" i="5"/>
  <c r="O31" i="5" s="1"/>
  <c r="O12" i="5"/>
  <c r="O9" i="5"/>
  <c r="O5" i="3" l="1"/>
  <c r="O22" i="3"/>
  <c r="O7" i="3"/>
  <c r="O8" i="3"/>
  <c r="O9" i="3"/>
  <c r="O10" i="3"/>
  <c r="O11" i="3"/>
  <c r="O6" i="3" l="1"/>
  <c r="O19" i="3"/>
  <c r="O3" i="3"/>
  <c r="O2" i="3" s="1"/>
  <c r="O36" i="3" l="1"/>
  <c r="H10" i="6" l="1"/>
  <c r="I10" i="6"/>
  <c r="J10" i="6"/>
  <c r="K10" i="6"/>
  <c r="L10" i="6"/>
  <c r="M10" i="6"/>
  <c r="N10" i="6"/>
  <c r="C7" i="11" l="1"/>
  <c r="D7" i="11"/>
  <c r="E7" i="11"/>
  <c r="F7" i="11"/>
  <c r="G7" i="11"/>
  <c r="H7" i="11"/>
  <c r="I7" i="11"/>
  <c r="J7" i="11"/>
  <c r="K7" i="11"/>
  <c r="L7" i="11"/>
  <c r="M7" i="11"/>
  <c r="N7" i="11"/>
  <c r="C13" i="11"/>
  <c r="D13" i="11"/>
  <c r="E13" i="11"/>
  <c r="F13" i="11"/>
  <c r="G13" i="11"/>
  <c r="H13" i="11"/>
  <c r="I13" i="11"/>
  <c r="J13" i="11"/>
  <c r="K13" i="11"/>
  <c r="L13" i="11"/>
  <c r="M13" i="11"/>
  <c r="N13" i="11"/>
  <c r="O53" i="4"/>
  <c r="O54" i="4"/>
  <c r="O55" i="4"/>
  <c r="O56" i="4"/>
  <c r="O57" i="4"/>
  <c r="O58" i="4"/>
  <c r="O59" i="4"/>
  <c r="O60" i="4"/>
  <c r="O61" i="4"/>
  <c r="O62" i="4"/>
  <c r="O28" i="4"/>
  <c r="O48" i="4" l="1"/>
  <c r="O34" i="4"/>
  <c r="O51" i="4" s="1"/>
  <c r="O29" i="4"/>
  <c r="O15" i="4"/>
  <c r="O63" i="4" l="1"/>
  <c r="O31" i="4"/>
  <c r="P38" i="13" l="1"/>
  <c r="P27" i="13"/>
  <c r="P32" i="13" s="1"/>
  <c r="P21" i="13"/>
  <c r="P18" i="13"/>
  <c r="P26" i="13" s="1"/>
  <c r="P35" i="13" s="1"/>
  <c r="P12" i="13"/>
  <c r="P10" i="13"/>
  <c r="P8" i="13"/>
  <c r="P2" i="13"/>
  <c r="P15" i="9"/>
  <c r="P10" i="9"/>
  <c r="P8" i="9"/>
  <c r="P5" i="9"/>
  <c r="P7" i="13" l="1"/>
  <c r="P6" i="13" s="1"/>
  <c r="P15" i="13" s="1"/>
  <c r="P3" i="9"/>
  <c r="P19" i="9" s="1"/>
  <c r="O11" i="7" l="1"/>
  <c r="O8" i="7"/>
  <c r="O12" i="7" l="1"/>
  <c r="P39" i="13" l="1"/>
  <c r="P20" i="9"/>
  <c r="P22" i="13"/>
  <c r="O13" i="7" l="1"/>
  <c r="C2" i="3" l="1"/>
  <c r="D2" i="3"/>
  <c r="E2" i="3"/>
  <c r="F2" i="3"/>
  <c r="H6" i="3"/>
  <c r="I6" i="3"/>
  <c r="J6" i="3"/>
  <c r="K6" i="3"/>
  <c r="L6" i="3"/>
  <c r="M6" i="3"/>
  <c r="N6" i="3"/>
  <c r="G6" i="3"/>
  <c r="H7" i="3"/>
  <c r="I7" i="3"/>
  <c r="J7" i="3"/>
  <c r="K7" i="3"/>
  <c r="L7" i="3"/>
  <c r="M7" i="3"/>
  <c r="N7" i="3"/>
  <c r="G7" i="3"/>
  <c r="N11" i="8" l="1"/>
  <c r="F10" i="9"/>
  <c r="E31" i="13" l="1"/>
  <c r="C31" i="13"/>
  <c r="D31" i="13"/>
  <c r="F31" i="13"/>
  <c r="G31" i="13"/>
  <c r="H31" i="13"/>
  <c r="I31" i="13"/>
  <c r="J31" i="13"/>
  <c r="K31" i="13"/>
  <c r="L31" i="13"/>
  <c r="M31" i="13"/>
  <c r="G15" i="9" l="1"/>
  <c r="G8" i="9"/>
  <c r="G5" i="9"/>
  <c r="G10" i="9"/>
  <c r="G21" i="13"/>
  <c r="G12" i="13"/>
  <c r="G10" i="13"/>
  <c r="G8" i="13"/>
  <c r="G2" i="13"/>
  <c r="G38" i="13"/>
  <c r="G27" i="13"/>
  <c r="G7" i="13" l="1"/>
  <c r="G6" i="13" s="1"/>
  <c r="G15" i="13" s="1"/>
  <c r="G3" i="9"/>
  <c r="G19" i="9" s="1"/>
  <c r="G20" i="9" s="1"/>
  <c r="G32" i="13"/>
  <c r="G39" i="13" s="1"/>
  <c r="F11" i="10" l="1"/>
  <c r="F8" i="10"/>
  <c r="G21" i="9"/>
  <c r="F18" i="10"/>
  <c r="F13" i="10"/>
  <c r="F3" i="10"/>
  <c r="F23" i="10" l="1"/>
  <c r="J18" i="10" l="1"/>
  <c r="J13" i="10"/>
  <c r="J3" i="10"/>
  <c r="J8" i="10"/>
  <c r="N10" i="8"/>
  <c r="N12" i="8" s="1"/>
  <c r="J23" i="10" l="1"/>
  <c r="N3" i="11" l="1"/>
  <c r="N17" i="11" s="1"/>
  <c r="N13" i="14" l="1"/>
  <c r="M10" i="3" l="1"/>
  <c r="L10" i="3"/>
  <c r="K10" i="3"/>
  <c r="J10" i="3"/>
  <c r="I10" i="3"/>
  <c r="H10" i="3"/>
  <c r="G10" i="3"/>
  <c r="M9" i="3"/>
  <c r="L9" i="3"/>
  <c r="K9" i="3"/>
  <c r="J9" i="3"/>
  <c r="I9" i="3"/>
  <c r="H9" i="3"/>
  <c r="G9" i="3"/>
  <c r="M8" i="3"/>
  <c r="L8" i="3"/>
  <c r="K8" i="3"/>
  <c r="J8" i="3"/>
  <c r="I8" i="3"/>
  <c r="H8" i="3"/>
  <c r="G8" i="3"/>
  <c r="M5" i="3"/>
  <c r="L5" i="3"/>
  <c r="K5" i="3"/>
  <c r="J5" i="3"/>
  <c r="I5" i="3"/>
  <c r="H5" i="3"/>
  <c r="G5" i="3"/>
  <c r="M4" i="3"/>
  <c r="L4" i="3"/>
  <c r="K4" i="3"/>
  <c r="J4" i="3"/>
  <c r="I4" i="3"/>
  <c r="H4" i="3"/>
  <c r="G4" i="3"/>
  <c r="M3" i="3"/>
  <c r="L3" i="3"/>
  <c r="K3" i="3"/>
  <c r="J3" i="3"/>
  <c r="I3" i="3"/>
  <c r="H3" i="3"/>
  <c r="G3" i="3"/>
  <c r="N5" i="3"/>
  <c r="N10" i="3"/>
  <c r="N9" i="3"/>
  <c r="N8" i="3"/>
  <c r="N4" i="3"/>
  <c r="N3" i="3"/>
  <c r="J2" i="3" l="1"/>
  <c r="G2" i="3"/>
  <c r="K2" i="3"/>
  <c r="H2" i="3"/>
  <c r="L2" i="3"/>
  <c r="N2" i="3"/>
  <c r="I2" i="3"/>
  <c r="M2" i="3"/>
  <c r="N12" i="12" l="1"/>
  <c r="N4" i="12"/>
  <c r="N6" i="12" s="1"/>
  <c r="N8" i="12"/>
  <c r="O38" i="13"/>
  <c r="O27" i="13"/>
  <c r="O32" i="13" s="1"/>
  <c r="O21" i="13"/>
  <c r="O18" i="13"/>
  <c r="O26" i="13" s="1"/>
  <c r="O35" i="13" s="1"/>
  <c r="O12" i="13"/>
  <c r="O10" i="13"/>
  <c r="O8" i="13"/>
  <c r="O2" i="13"/>
  <c r="O15" i="9"/>
  <c r="O10" i="9"/>
  <c r="O8" i="9"/>
  <c r="O5" i="9"/>
  <c r="N12" i="5"/>
  <c r="N9" i="5"/>
  <c r="N11" i="3"/>
  <c r="N19" i="3"/>
  <c r="N22" i="3"/>
  <c r="O3" i="9" l="1"/>
  <c r="O39" i="13"/>
  <c r="O7" i="13"/>
  <c r="O6" i="13" s="1"/>
  <c r="O15" i="13" s="1"/>
  <c r="O22" i="13" s="1"/>
  <c r="N36" i="3"/>
  <c r="N33" i="5"/>
  <c r="N31" i="5"/>
  <c r="N11" i="7"/>
  <c r="N8" i="7"/>
  <c r="N12" i="7" s="1"/>
  <c r="O19" i="9" l="1"/>
  <c r="O20" i="9" s="1"/>
  <c r="M60" i="4"/>
  <c r="N53" i="4"/>
  <c r="M53" i="4"/>
  <c r="M54" i="4"/>
  <c r="N54" i="4"/>
  <c r="M55" i="4"/>
  <c r="N55" i="4"/>
  <c r="M56" i="4"/>
  <c r="N56" i="4"/>
  <c r="M57" i="4"/>
  <c r="N57" i="4"/>
  <c r="M58" i="4"/>
  <c r="N58" i="4"/>
  <c r="M59" i="4"/>
  <c r="N59" i="4"/>
  <c r="N60" i="4"/>
  <c r="M61" i="4"/>
  <c r="N61" i="4"/>
  <c r="M62" i="4"/>
  <c r="N62" i="4"/>
  <c r="N34" i="4" l="1"/>
  <c r="N51" i="4" s="1"/>
  <c r="N48" i="4"/>
  <c r="N63" i="4"/>
  <c r="N29" i="4"/>
  <c r="N15" i="4" l="1"/>
  <c r="N31" i="4" s="1"/>
  <c r="I3" i="10" l="1"/>
  <c r="E18" i="10"/>
  <c r="I18" i="10"/>
  <c r="I13" i="10"/>
  <c r="I8" i="10"/>
  <c r="E13" i="10"/>
  <c r="E8" i="10"/>
  <c r="E3" i="10"/>
  <c r="I23" i="10" l="1"/>
  <c r="I24" i="10" s="1"/>
  <c r="E23" i="10"/>
  <c r="E24" i="10" s="1"/>
  <c r="M12" i="12" l="1"/>
  <c r="M8" i="12"/>
  <c r="M4" i="12"/>
  <c r="M6" i="12" s="1"/>
  <c r="M22" i="3" l="1"/>
  <c r="M19" i="3"/>
  <c r="M11" i="3"/>
  <c r="M36" i="3"/>
  <c r="M10" i="8"/>
  <c r="M12" i="8" s="1"/>
  <c r="M12" i="5" l="1"/>
  <c r="M33" i="5"/>
  <c r="M31" i="5"/>
  <c r="M9" i="5"/>
  <c r="M11" i="7" l="1"/>
  <c r="M8" i="7"/>
  <c r="M12" i="7" l="1"/>
  <c r="M13" i="7" s="1"/>
  <c r="N15" i="9"/>
  <c r="N10" i="9"/>
  <c r="N8" i="9"/>
  <c r="N5" i="9"/>
  <c r="N3" i="9" l="1"/>
  <c r="N19" i="9" s="1"/>
  <c r="L47" i="4"/>
  <c r="L46" i="4"/>
  <c r="L45" i="4"/>
  <c r="L44" i="4"/>
  <c r="L55" i="4" s="1"/>
  <c r="L43" i="4"/>
  <c r="L61" i="4" s="1"/>
  <c r="L42" i="4"/>
  <c r="L53" i="4" s="1"/>
  <c r="L41" i="4"/>
  <c r="L54" i="4" s="1"/>
  <c r="L40" i="4"/>
  <c r="L39" i="4"/>
  <c r="L59" i="4" s="1"/>
  <c r="L38" i="4"/>
  <c r="L58" i="4" s="1"/>
  <c r="L37" i="4"/>
  <c r="L56" i="4" s="1"/>
  <c r="L36" i="4"/>
  <c r="L35" i="4"/>
  <c r="L57" i="4" s="1"/>
  <c r="L29" i="4"/>
  <c r="L60" i="4" l="1"/>
  <c r="N20" i="9"/>
  <c r="L62" i="4"/>
  <c r="L48" i="4"/>
  <c r="L63" i="4" l="1"/>
  <c r="M29" i="4"/>
  <c r="L15" i="4" l="1"/>
  <c r="L31" i="4" s="1"/>
  <c r="M11" i="15"/>
  <c r="M13" i="14"/>
  <c r="D13" i="14"/>
  <c r="E13" i="14"/>
  <c r="F13" i="14"/>
  <c r="G13" i="14"/>
  <c r="H13" i="14"/>
  <c r="I13" i="14"/>
  <c r="J13" i="14"/>
  <c r="K13" i="14"/>
  <c r="L13" i="14"/>
  <c r="M48" i="4" l="1"/>
  <c r="M15" i="4"/>
  <c r="M31" i="4" s="1"/>
  <c r="M3" i="11"/>
  <c r="M63" i="4" l="1"/>
  <c r="M17" i="11"/>
  <c r="N38" i="13" l="1"/>
  <c r="N27" i="13"/>
  <c r="N32" i="13" s="1"/>
  <c r="N2" i="13"/>
  <c r="N8" i="13"/>
  <c r="N10" i="13"/>
  <c r="N12" i="13"/>
  <c r="N18" i="13"/>
  <c r="N26" i="13" s="1"/>
  <c r="N35" i="13" s="1"/>
  <c r="N21" i="13"/>
  <c r="D10" i="13"/>
  <c r="E10" i="13"/>
  <c r="F10" i="13"/>
  <c r="H10" i="13"/>
  <c r="I10" i="13"/>
  <c r="J10" i="13"/>
  <c r="K10" i="13"/>
  <c r="L10" i="13"/>
  <c r="M10" i="13"/>
  <c r="C10" i="13"/>
  <c r="N39" i="13" l="1"/>
  <c r="N7" i="13"/>
  <c r="N6" i="13" s="1"/>
  <c r="N15" i="13" s="1"/>
  <c r="N22" i="13" s="1"/>
  <c r="G37" i="7" l="1"/>
  <c r="G38" i="7"/>
  <c r="K28" i="4" l="1"/>
  <c r="G28" i="4"/>
  <c r="E28" i="4"/>
  <c r="D28" i="4"/>
  <c r="C28" i="4"/>
  <c r="D29" i="4" l="1"/>
  <c r="E29" i="4"/>
  <c r="G29" i="4"/>
  <c r="K29" i="4"/>
  <c r="H19" i="4"/>
  <c r="H28" i="4" s="1"/>
  <c r="D37" i="4"/>
  <c r="D56" i="4" s="1"/>
  <c r="E37" i="4"/>
  <c r="E56" i="4" s="1"/>
  <c r="G37" i="4"/>
  <c r="G56" i="4" s="1"/>
  <c r="K37" i="4"/>
  <c r="K56" i="4" s="1"/>
  <c r="C37" i="4"/>
  <c r="C56" i="4" s="1"/>
  <c r="F19" i="4"/>
  <c r="H37" i="4" l="1"/>
  <c r="H56" i="4" s="1"/>
  <c r="I19" i="4"/>
  <c r="J19" i="4" s="1"/>
  <c r="F37" i="4"/>
  <c r="F56" i="4" s="1"/>
  <c r="F28" i="4"/>
  <c r="F29" i="4" s="1"/>
  <c r="H29" i="4"/>
  <c r="J28" i="4" l="1"/>
  <c r="J29" i="4" s="1"/>
  <c r="J37" i="4"/>
  <c r="J56" i="4" s="1"/>
  <c r="I28" i="4"/>
  <c r="I29" i="4" s="1"/>
  <c r="I37" i="4"/>
  <c r="I56" i="4" s="1"/>
  <c r="L22" i="3" l="1"/>
  <c r="L4" i="12" l="1"/>
  <c r="L6" i="12" s="1"/>
  <c r="L12" i="12"/>
  <c r="I51" i="4" l="1"/>
  <c r="K51" i="4"/>
  <c r="E51" i="4"/>
  <c r="C35" i="13" l="1"/>
  <c r="M18" i="13"/>
  <c r="M26" i="13" s="1"/>
  <c r="M35" i="13" s="1"/>
  <c r="M12" i="13"/>
  <c r="M8" i="13"/>
  <c r="M7" i="13" l="1"/>
  <c r="M6" i="13" s="1"/>
  <c r="M38" i="13"/>
  <c r="M27" i="13"/>
  <c r="M21" i="13"/>
  <c r="M2" i="13"/>
  <c r="M15" i="13" l="1"/>
  <c r="M22" i="13" s="1"/>
  <c r="L3" i="11"/>
  <c r="L17" i="11" l="1"/>
  <c r="K47" i="4"/>
  <c r="J47" i="4"/>
  <c r="I47" i="4"/>
  <c r="H47" i="4"/>
  <c r="G47" i="4"/>
  <c r="F47" i="4"/>
  <c r="E47" i="4"/>
  <c r="D47" i="4"/>
  <c r="C47" i="4"/>
  <c r="H4" i="4"/>
  <c r="H36" i="4" s="1"/>
  <c r="G4" i="4"/>
  <c r="G36" i="4" s="1"/>
  <c r="F4" i="4"/>
  <c r="F36" i="4" s="1"/>
  <c r="E4" i="4"/>
  <c r="E36" i="4" s="1"/>
  <c r="D4" i="4"/>
  <c r="D36" i="4" s="1"/>
  <c r="C4" i="4"/>
  <c r="C36" i="4" s="1"/>
  <c r="I4" i="4"/>
  <c r="I36" i="4" s="1"/>
  <c r="J4" i="4"/>
  <c r="J36" i="4" s="1"/>
  <c r="K4" i="4"/>
  <c r="K36" i="4" s="1"/>
  <c r="K46" i="4" l="1"/>
  <c r="J46" i="4"/>
  <c r="I46" i="4"/>
  <c r="H46" i="4"/>
  <c r="G46" i="4"/>
  <c r="F46" i="4"/>
  <c r="E46" i="4"/>
  <c r="D46" i="4"/>
  <c r="C46" i="4"/>
  <c r="K45" i="4"/>
  <c r="J45" i="4"/>
  <c r="I45" i="4"/>
  <c r="H45" i="4"/>
  <c r="G45" i="4"/>
  <c r="F45" i="4"/>
  <c r="E45" i="4"/>
  <c r="D45" i="4"/>
  <c r="C45" i="4"/>
  <c r="K44" i="4"/>
  <c r="K55" i="4" s="1"/>
  <c r="J44" i="4"/>
  <c r="J55" i="4" s="1"/>
  <c r="I44" i="4"/>
  <c r="I55" i="4" s="1"/>
  <c r="H44" i="4"/>
  <c r="H55" i="4" s="1"/>
  <c r="G44" i="4"/>
  <c r="G55" i="4" s="1"/>
  <c r="F44" i="4"/>
  <c r="F55" i="4" s="1"/>
  <c r="E44" i="4"/>
  <c r="E55" i="4" s="1"/>
  <c r="D44" i="4"/>
  <c r="D55" i="4" s="1"/>
  <c r="C44" i="4"/>
  <c r="C55" i="4" s="1"/>
  <c r="K43" i="4"/>
  <c r="K61" i="4" s="1"/>
  <c r="J43" i="4"/>
  <c r="J61" i="4" s="1"/>
  <c r="I43" i="4"/>
  <c r="I61" i="4" s="1"/>
  <c r="H43" i="4"/>
  <c r="H61" i="4" s="1"/>
  <c r="G43" i="4"/>
  <c r="G61" i="4" s="1"/>
  <c r="F43" i="4"/>
  <c r="F61" i="4" s="1"/>
  <c r="E43" i="4"/>
  <c r="E61" i="4" s="1"/>
  <c r="D43" i="4"/>
  <c r="D61" i="4" s="1"/>
  <c r="C43" i="4"/>
  <c r="C61" i="4" s="1"/>
  <c r="K42" i="4"/>
  <c r="K53" i="4" s="1"/>
  <c r="J42" i="4"/>
  <c r="J53" i="4" s="1"/>
  <c r="I42" i="4"/>
  <c r="I53" i="4" s="1"/>
  <c r="H42" i="4"/>
  <c r="H53" i="4" s="1"/>
  <c r="G42" i="4"/>
  <c r="G53" i="4" s="1"/>
  <c r="F42" i="4"/>
  <c r="F53" i="4" s="1"/>
  <c r="E42" i="4"/>
  <c r="E53" i="4" s="1"/>
  <c r="D42" i="4"/>
  <c r="D53" i="4" s="1"/>
  <c r="C42" i="4"/>
  <c r="C53" i="4" s="1"/>
  <c r="K41" i="4"/>
  <c r="J41" i="4"/>
  <c r="I41" i="4"/>
  <c r="H41" i="4"/>
  <c r="G41" i="4"/>
  <c r="F41" i="4"/>
  <c r="E41" i="4"/>
  <c r="D41" i="4"/>
  <c r="C41" i="4"/>
  <c r="C54" i="4" s="1"/>
  <c r="K40" i="4"/>
  <c r="K62" i="4" s="1"/>
  <c r="J40" i="4"/>
  <c r="I40" i="4"/>
  <c r="H40" i="4"/>
  <c r="G40" i="4"/>
  <c r="F40" i="4"/>
  <c r="E40" i="4"/>
  <c r="D40" i="4"/>
  <c r="C40" i="4"/>
  <c r="C62" i="4" s="1"/>
  <c r="K39" i="4"/>
  <c r="K59" i="4" s="1"/>
  <c r="J39" i="4"/>
  <c r="J59" i="4" s="1"/>
  <c r="I39" i="4"/>
  <c r="I59" i="4" s="1"/>
  <c r="H39" i="4"/>
  <c r="H59" i="4" s="1"/>
  <c r="G39" i="4"/>
  <c r="G59" i="4" s="1"/>
  <c r="F39" i="4"/>
  <c r="F59" i="4" s="1"/>
  <c r="E39" i="4"/>
  <c r="E59" i="4" s="1"/>
  <c r="D39" i="4"/>
  <c r="D59" i="4" s="1"/>
  <c r="C39" i="4"/>
  <c r="C59" i="4" s="1"/>
  <c r="K38" i="4"/>
  <c r="K58" i="4" s="1"/>
  <c r="J38" i="4"/>
  <c r="J58" i="4" s="1"/>
  <c r="I38" i="4"/>
  <c r="I58" i="4" s="1"/>
  <c r="H38" i="4"/>
  <c r="H58" i="4" s="1"/>
  <c r="G38" i="4"/>
  <c r="G58" i="4" s="1"/>
  <c r="F38" i="4"/>
  <c r="F58" i="4" s="1"/>
  <c r="E38" i="4"/>
  <c r="E58" i="4" s="1"/>
  <c r="D38" i="4"/>
  <c r="D58" i="4" s="1"/>
  <c r="C38" i="4"/>
  <c r="C58" i="4" s="1"/>
  <c r="K35" i="4"/>
  <c r="J35" i="4"/>
  <c r="I35" i="4"/>
  <c r="H35" i="4"/>
  <c r="G35" i="4"/>
  <c r="F35" i="4"/>
  <c r="E35" i="4"/>
  <c r="D35" i="4"/>
  <c r="C35" i="4"/>
  <c r="J34" i="4"/>
  <c r="J51" i="4" s="1"/>
  <c r="H34" i="4"/>
  <c r="H51" i="4" s="1"/>
  <c r="G34" i="4"/>
  <c r="G51" i="4" s="1"/>
  <c r="F34" i="4"/>
  <c r="F51" i="4" s="1"/>
  <c r="C29" i="4"/>
  <c r="K15" i="4"/>
  <c r="J15" i="4"/>
  <c r="J31" i="4" s="1"/>
  <c r="I15" i="4"/>
  <c r="I31" i="4" s="1"/>
  <c r="H15" i="4"/>
  <c r="G15" i="4"/>
  <c r="F15" i="4"/>
  <c r="E15" i="4"/>
  <c r="D15" i="4"/>
  <c r="C15" i="4"/>
  <c r="I62" i="4" l="1"/>
  <c r="G62" i="4"/>
  <c r="H62" i="4"/>
  <c r="E62" i="4"/>
  <c r="J62" i="4"/>
  <c r="F62" i="4"/>
  <c r="D62" i="4"/>
  <c r="E31" i="4"/>
  <c r="H31" i="4"/>
  <c r="D31" i="4"/>
  <c r="I57" i="4"/>
  <c r="K60" i="4"/>
  <c r="F48" i="4"/>
  <c r="F57" i="4"/>
  <c r="J48" i="4"/>
  <c r="J57" i="4"/>
  <c r="D60" i="4"/>
  <c r="H60" i="4"/>
  <c r="D54" i="4"/>
  <c r="H54" i="4"/>
  <c r="G60" i="4"/>
  <c r="G57" i="4"/>
  <c r="K57" i="4"/>
  <c r="E60" i="4"/>
  <c r="I60" i="4"/>
  <c r="E54" i="4"/>
  <c r="I54" i="4"/>
  <c r="E57" i="4"/>
  <c r="G54" i="4"/>
  <c r="K54" i="4"/>
  <c r="D57" i="4"/>
  <c r="H57" i="4"/>
  <c r="F60" i="4"/>
  <c r="J60" i="4"/>
  <c r="F54" i="4"/>
  <c r="J54" i="4"/>
  <c r="C60" i="4"/>
  <c r="F31" i="4"/>
  <c r="C57" i="4"/>
  <c r="C31" i="4"/>
  <c r="G31" i="4"/>
  <c r="K31" i="4"/>
  <c r="E48" i="4"/>
  <c r="I48" i="4"/>
  <c r="H48" i="4"/>
  <c r="G48" i="4"/>
  <c r="D48" i="4"/>
  <c r="C48" i="4"/>
  <c r="K48" i="4"/>
  <c r="L31" i="5"/>
  <c r="K31" i="5"/>
  <c r="L35" i="5"/>
  <c r="L33" i="5" s="1"/>
  <c r="E63" i="4" l="1"/>
  <c r="C63" i="4"/>
  <c r="F63" i="4"/>
  <c r="I63" i="4"/>
  <c r="D63" i="4"/>
  <c r="K63" i="4"/>
  <c r="G63" i="4"/>
  <c r="J63" i="4"/>
  <c r="H63" i="4"/>
  <c r="C49" i="4"/>
  <c r="L9" i="5" l="1"/>
  <c r="K33" i="5" l="1"/>
  <c r="J33" i="5"/>
  <c r="I33" i="5"/>
  <c r="H33" i="5"/>
  <c r="G33" i="5"/>
  <c r="F33" i="5"/>
  <c r="E33" i="5"/>
  <c r="D33" i="5"/>
  <c r="C33" i="5"/>
  <c r="H3" i="10" l="1"/>
  <c r="H13" i="10"/>
  <c r="D3" i="10"/>
  <c r="D13" i="10"/>
  <c r="D18" i="10"/>
  <c r="D8" i="10"/>
  <c r="H8" i="10"/>
  <c r="H18" i="10"/>
  <c r="H23" i="10" l="1"/>
  <c r="D23" i="10"/>
  <c r="M10" i="9"/>
  <c r="M8" i="9"/>
  <c r="M5" i="9"/>
  <c r="L5" i="9"/>
  <c r="K5" i="9"/>
  <c r="J5" i="9"/>
  <c r="I5" i="9"/>
  <c r="H5" i="9"/>
  <c r="F5" i="9"/>
  <c r="E5" i="9"/>
  <c r="D24" i="10" l="1"/>
  <c r="H24" i="10"/>
  <c r="M15" i="9"/>
  <c r="L11" i="7"/>
  <c r="L8" i="7"/>
  <c r="M3" i="9"/>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18" i="10"/>
  <c r="C18" i="10"/>
  <c r="G13" i="10"/>
  <c r="C13" i="10"/>
  <c r="G8" i="10"/>
  <c r="C8" i="10"/>
  <c r="G3" i="10"/>
  <c r="C3" i="10"/>
  <c r="M19" i="9" l="1"/>
  <c r="M20" i="9" s="1"/>
  <c r="L12" i="7"/>
  <c r="L13" i="7" s="1"/>
  <c r="C23" i="10"/>
  <c r="C24" i="10" s="1"/>
  <c r="G23" i="10"/>
  <c r="G24" i="10" s="1"/>
  <c r="G10" i="6"/>
  <c r="L15" i="9" l="1"/>
  <c r="H15" i="9"/>
  <c r="F8" i="7" l="1"/>
  <c r="E8" i="7"/>
  <c r="D8" i="7"/>
  <c r="C8" i="7"/>
  <c r="K8" i="7"/>
  <c r="J8" i="7"/>
  <c r="I8" i="7"/>
  <c r="H8" i="7"/>
  <c r="G8" i="7"/>
  <c r="F11" i="7"/>
  <c r="E11" i="7"/>
  <c r="D11" i="7"/>
  <c r="C11" i="7"/>
  <c r="F16" i="9"/>
  <c r="F4" i="9"/>
  <c r="D12" i="7" l="1"/>
  <c r="D13" i="7" s="1"/>
  <c r="C12" i="7"/>
  <c r="C13" i="7" s="1"/>
  <c r="E12" i="7"/>
  <c r="E13" i="7" s="1"/>
  <c r="F12" i="7"/>
  <c r="F13" i="7" s="1"/>
  <c r="F19" i="9"/>
  <c r="F20" i="9" s="1"/>
  <c r="E4" i="9"/>
  <c r="F8" i="9"/>
  <c r="G11" i="7" l="1"/>
  <c r="G12" i="7" s="1"/>
  <c r="G13" i="7" s="1"/>
  <c r="I11" i="7"/>
  <c r="J11" i="7"/>
  <c r="K11" i="7"/>
  <c r="H11" i="7"/>
  <c r="H12" i="7" s="1"/>
  <c r="H13" i="7" s="1"/>
  <c r="J12" i="7" l="1"/>
  <c r="J13" i="7" s="1"/>
  <c r="I12" i="7"/>
  <c r="I13" i="7" s="1"/>
  <c r="K12" i="7"/>
  <c r="K13" i="7" s="1"/>
  <c r="H32" i="13" l="1"/>
  <c r="L38" i="13" l="1"/>
  <c r="K38" i="13"/>
  <c r="J38" i="13"/>
  <c r="I38" i="13"/>
  <c r="H38" i="13"/>
  <c r="H39" i="13" s="1"/>
  <c r="F38" i="13"/>
  <c r="E38" i="13"/>
  <c r="D38" i="13"/>
  <c r="C38" i="13"/>
  <c r="D21" i="13"/>
  <c r="E21" i="13"/>
  <c r="F21" i="13"/>
  <c r="H21" i="13"/>
  <c r="I21" i="13"/>
  <c r="J21" i="13"/>
  <c r="K21" i="13"/>
  <c r="L21" i="13"/>
  <c r="C21" i="13"/>
  <c r="D2" i="13" l="1"/>
  <c r="D8" i="13"/>
  <c r="D12" i="13"/>
  <c r="D7" i="13" l="1"/>
  <c r="D6" i="13" s="1"/>
  <c r="D15" i="13" s="1"/>
  <c r="D22" i="13" s="1"/>
  <c r="C27" i="13"/>
  <c r="D27" i="13"/>
  <c r="E27" i="13"/>
  <c r="C12" i="13"/>
  <c r="E12" i="13"/>
  <c r="F12" i="13"/>
  <c r="H12" i="13"/>
  <c r="I12" i="13"/>
  <c r="J12" i="13"/>
  <c r="K12" i="13"/>
  <c r="C8" i="13"/>
  <c r="E8" i="13"/>
  <c r="F8" i="13"/>
  <c r="H8" i="13"/>
  <c r="I8" i="13"/>
  <c r="J8" i="13"/>
  <c r="K8" i="13"/>
  <c r="C2" i="13"/>
  <c r="E2" i="13"/>
  <c r="H7" i="13" l="1"/>
  <c r="H6" i="13" s="1"/>
  <c r="F7" i="13"/>
  <c r="F6" i="13" s="1"/>
  <c r="C7" i="13"/>
  <c r="C6" i="13" s="1"/>
  <c r="C15" i="13" s="1"/>
  <c r="C22" i="13" s="1"/>
  <c r="E7" i="13"/>
  <c r="K7" i="13"/>
  <c r="K6" i="13" s="1"/>
  <c r="J7" i="13"/>
  <c r="J6" i="13" s="1"/>
  <c r="I7" i="13"/>
  <c r="I6" i="13" s="1"/>
  <c r="F2" i="13"/>
  <c r="H2" i="13"/>
  <c r="I2" i="13"/>
  <c r="J2" i="13"/>
  <c r="K2" i="13"/>
  <c r="H15" i="13" l="1"/>
  <c r="H22" i="13" s="1"/>
  <c r="K15" i="13"/>
  <c r="K22" i="13" s="1"/>
  <c r="J15" i="13"/>
  <c r="J22" i="13" s="1"/>
  <c r="I15" i="13"/>
  <c r="I22" i="13" s="1"/>
  <c r="F15" i="13"/>
  <c r="F22" i="13" s="1"/>
  <c r="I27" i="13"/>
  <c r="I32" i="13" s="1"/>
  <c r="I39" i="13" s="1"/>
  <c r="F27" i="13" l="1"/>
  <c r="F32" i="13" s="1"/>
  <c r="F39" i="13" s="1"/>
  <c r="E6" i="13"/>
  <c r="E15" i="13" s="1"/>
  <c r="E22" i="13" s="1"/>
  <c r="J27" i="13"/>
  <c r="J32" i="13" s="1"/>
  <c r="J39" i="13" s="1"/>
  <c r="K27" i="13"/>
  <c r="K32" i="13" s="1"/>
  <c r="K39" i="13" s="1"/>
  <c r="L27" i="13" l="1"/>
  <c r="L32" i="13" s="1"/>
  <c r="L39" i="13" s="1"/>
  <c r="L12" i="13"/>
  <c r="L8" i="13"/>
  <c r="L2" i="13"/>
  <c r="L7" i="13" l="1"/>
  <c r="L6" i="13" s="1"/>
  <c r="L15" i="13" s="1"/>
  <c r="L22" i="13" s="1"/>
  <c r="F10" i="6" l="1"/>
  <c r="E10" i="6"/>
  <c r="D10" i="6"/>
  <c r="C10" i="6"/>
  <c r="G36" i="3" l="1"/>
  <c r="L8" i="12" l="1"/>
  <c r="D12" i="12" l="1"/>
  <c r="E12" i="12"/>
  <c r="F12" i="12"/>
  <c r="G12" i="12"/>
  <c r="H12" i="12"/>
  <c r="I12" i="12"/>
  <c r="J12" i="12"/>
  <c r="K12" i="12"/>
  <c r="C12" i="12"/>
  <c r="D8" i="12"/>
  <c r="E8" i="12"/>
  <c r="F8" i="12"/>
  <c r="G8" i="12"/>
  <c r="H8" i="12"/>
  <c r="I8" i="12"/>
  <c r="J8" i="12"/>
  <c r="K8" i="12"/>
  <c r="C8" i="12"/>
  <c r="D4" i="12"/>
  <c r="D6" i="12" s="1"/>
  <c r="E4" i="12"/>
  <c r="E6" i="12" s="1"/>
  <c r="F4" i="12"/>
  <c r="F6" i="12" s="1"/>
  <c r="G4" i="12"/>
  <c r="G6" i="12" s="1"/>
  <c r="H4" i="12"/>
  <c r="H6" i="12" s="1"/>
  <c r="I4" i="12"/>
  <c r="I6" i="12" s="1"/>
  <c r="J4" i="12"/>
  <c r="J6" i="12" s="1"/>
  <c r="K4" i="12"/>
  <c r="K6" i="12" s="1"/>
  <c r="C4" i="12"/>
  <c r="C6" i="12" s="1"/>
  <c r="C31" i="5"/>
  <c r="D31" i="5"/>
  <c r="E31" i="5"/>
  <c r="F31" i="5"/>
  <c r="G31" i="5"/>
  <c r="H31" i="5"/>
  <c r="I31" i="5"/>
  <c r="J31" i="5"/>
  <c r="C16" i="9" l="1"/>
  <c r="C10" i="9"/>
  <c r="C5" i="9"/>
  <c r="C4" i="9" l="1"/>
  <c r="C19" i="9" s="1"/>
  <c r="C20" i="9" s="1"/>
  <c r="D16" i="9" l="1"/>
  <c r="D10" i="9"/>
  <c r="D5" i="9"/>
  <c r="D4" i="9" l="1"/>
  <c r="D19" i="9" s="1"/>
  <c r="D20" i="9" s="1"/>
  <c r="E16" i="9" l="1"/>
  <c r="E19" i="9" s="1"/>
  <c r="E20" i="9" s="1"/>
  <c r="E10" i="9"/>
  <c r="E8" i="9"/>
  <c r="H12" i="9" l="1"/>
  <c r="H8" i="9"/>
  <c r="H10" i="9" l="1"/>
  <c r="H3" i="9" s="1"/>
  <c r="H19" i="9" s="1"/>
  <c r="H20" i="9" s="1"/>
  <c r="I12" i="9"/>
  <c r="I15" i="9"/>
  <c r="I10" i="9"/>
  <c r="I8" i="9"/>
  <c r="I3" i="9" l="1"/>
  <c r="J12" i="9"/>
  <c r="I19" i="9" l="1"/>
  <c r="I20" i="9" s="1"/>
  <c r="J15" i="9"/>
  <c r="J10" i="9"/>
  <c r="J8" i="9"/>
  <c r="J3" i="9" l="1"/>
  <c r="J19" i="9" s="1"/>
  <c r="J20" i="9" l="1"/>
  <c r="C9" i="5"/>
  <c r="K9" i="5"/>
  <c r="J9" i="5"/>
  <c r="I9" i="5"/>
  <c r="H9" i="5"/>
  <c r="G9" i="5"/>
  <c r="F9" i="5"/>
  <c r="E9" i="5"/>
  <c r="D9" i="5"/>
  <c r="K3" i="11"/>
  <c r="J3" i="11"/>
  <c r="J17" i="11" s="1"/>
  <c r="I3" i="11"/>
  <c r="I17" i="11" s="1"/>
  <c r="H3" i="11"/>
  <c r="G3" i="11"/>
  <c r="G17" i="11" s="1"/>
  <c r="F3" i="11"/>
  <c r="E3" i="11"/>
  <c r="D3" i="11"/>
  <c r="D17" i="11" s="1"/>
  <c r="C3" i="11"/>
  <c r="C17" i="11" s="1"/>
  <c r="K15" i="9"/>
  <c r="K12" i="9"/>
  <c r="K10" i="9"/>
  <c r="K8" i="9"/>
  <c r="K3" i="9" s="1"/>
  <c r="L12" i="9"/>
  <c r="L10" i="9"/>
  <c r="L8" i="9"/>
  <c r="K19" i="9" l="1"/>
  <c r="K20" i="9" s="1"/>
  <c r="E17" i="11"/>
  <c r="F17" i="11"/>
  <c r="L3" i="9"/>
  <c r="L19" i="9" s="1"/>
  <c r="K17" i="11"/>
  <c r="H17" i="11"/>
  <c r="C13" i="14"/>
  <c r="L20" i="9" l="1"/>
  <c r="G11" i="15"/>
  <c r="K11" i="15"/>
  <c r="F10" i="8"/>
  <c r="F12" i="8" s="1"/>
  <c r="J3" i="8"/>
  <c r="J10" i="8" s="1"/>
  <c r="C10" i="8"/>
  <c r="C12" i="8" s="1"/>
  <c r="D10" i="8"/>
  <c r="D12" i="8" s="1"/>
  <c r="G10" i="8"/>
  <c r="H10" i="8"/>
  <c r="H12" i="8" s="1"/>
  <c r="I10" i="8"/>
  <c r="I12" i="8" s="1"/>
  <c r="K10" i="8"/>
  <c r="K12" i="8" s="1"/>
  <c r="J11" i="8"/>
  <c r="C11" i="3"/>
  <c r="D11" i="3"/>
  <c r="E11" i="3"/>
  <c r="F11" i="3"/>
  <c r="G11" i="3"/>
  <c r="H11" i="3"/>
  <c r="I11" i="3"/>
  <c r="J11" i="3"/>
  <c r="K11" i="3"/>
  <c r="L11" i="3"/>
  <c r="C19" i="3"/>
  <c r="D19" i="3"/>
  <c r="E19" i="3"/>
  <c r="F19" i="3"/>
  <c r="G19" i="3"/>
  <c r="H19" i="3"/>
  <c r="I19" i="3"/>
  <c r="J19" i="3"/>
  <c r="K19" i="3"/>
  <c r="L19" i="3"/>
  <c r="C22" i="3"/>
  <c r="D22" i="3"/>
  <c r="E22" i="3"/>
  <c r="F22" i="3"/>
  <c r="G22" i="3"/>
  <c r="H22" i="3"/>
  <c r="I22" i="3"/>
  <c r="J22" i="3"/>
  <c r="K22" i="3"/>
  <c r="H36" i="3"/>
  <c r="I36" i="3"/>
  <c r="J36" i="3"/>
  <c r="K36" i="3"/>
  <c r="L36" i="3"/>
  <c r="G24" i="16" l="1"/>
  <c r="J12" i="8"/>
  <c r="F36" i="3"/>
  <c r="C36" i="3"/>
  <c r="D36" i="3"/>
  <c r="E36" i="3"/>
  <c r="E10" i="8"/>
  <c r="E12" i="8" s="1"/>
  <c r="L11" i="15" l="1"/>
  <c r="N13" i="7" l="1"/>
  <c r="J24" i="10" l="1"/>
  <c r="M32" i="13" l="1"/>
  <c r="M39" i="13" s="1"/>
  <c r="E32" i="13"/>
  <c r="E39" i="13" s="1"/>
  <c r="D32" i="13"/>
  <c r="D39" i="13" s="1"/>
  <c r="C32" i="13"/>
  <c r="C39" i="13" s="1"/>
</calcChain>
</file>

<file path=xl/sharedStrings.xml><?xml version="1.0" encoding="utf-8"?>
<sst xmlns="http://schemas.openxmlformats.org/spreadsheetml/2006/main" count="1192" uniqueCount="708">
  <si>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</si>
  <si>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</si>
  <si>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</si>
  <si>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</si>
  <si>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</si>
  <si>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</si>
  <si>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</si>
  <si>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</si>
  <si>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</si>
  <si>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</si>
  <si>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</si>
  <si>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</si>
  <si>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</si>
  <si>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</si>
  <si>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</si>
  <si>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</si>
  <si>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</si>
  <si>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</si>
  <si>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</si>
  <si>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</si>
  <si>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</si>
  <si>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</si>
  <si>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</si>
  <si>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</si>
  <si>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</si>
  <si>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</si>
  <si>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</si>
  <si>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</si>
  <si>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</si>
  <si>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</si>
  <si>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</si>
  <si>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</si>
  <si>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</si>
  <si>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</si>
  <si>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</si>
  <si>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</si>
  <si>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</si>
  <si>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</si>
  <si>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</si>
  <si>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</si>
  <si>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</si>
  <si>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</si>
  <si>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</si>
  <si>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</si>
  <si>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</si>
  <si>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</si>
  <si>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</si>
  <si>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</si>
  <si>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</si>
  <si>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</si>
  <si>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</si>
  <si>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</si>
  <si>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</si>
  <si>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</si>
  <si>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</si>
  <si>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</si>
  <si>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</si>
  <si>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</si>
  <si>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</si>
  <si>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</si>
  <si>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</si>
  <si>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</si>
  <si>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</si>
  <si>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</si>
  <si>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</si>
  <si>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</si>
  <si>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</si>
  <si>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</si>
  <si>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</si>
  <si>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</si>
  <si>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</si>
  <si>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</si>
  <si>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</si>
  <si>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</si>
  <si>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</si>
  <si>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</si>
  <si>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</si>
  <si>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</si>
  <si>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</si>
  <si>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</si>
  <si>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</si>
  <si>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</si>
  <si>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</si>
  <si>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</si>
  <si>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</si>
  <si>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</si>
  <si>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</si>
  <si>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</si>
  <si>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</si>
  <si>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</si>
  <si>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</si>
  <si>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</si>
  <si>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</si>
  <si>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</si>
  <si>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</si>
  <si>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</si>
  <si>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</si>
  <si>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</si>
  <si>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</si>
  <si>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</si>
  <si>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</si>
  <si>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</si>
  <si>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</si>
  <si>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</si>
  <si>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</si>
  <si>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</si>
  <si>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</si>
  <si>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</si>
  <si>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</si>
  <si>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</si>
  <si>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</si>
  <si>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</si>
  <si>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</si>
  <si>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</si>
  <si>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</si>
  <si>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</si>
  <si>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</si>
  <si>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</si>
  <si>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</si>
  <si>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</si>
  <si>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</si>
  <si>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</si>
  <si>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</si>
  <si>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</si>
  <si>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</si>
  <si>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</si>
  <si>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</si>
  <si>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</si>
  <si>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</si>
  <si>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</si>
  <si>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</si>
  <si>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</si>
  <si>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</si>
  <si>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</si>
  <si>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</si>
  <si>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</si>
  <si>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</si>
  <si>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</si>
  <si>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</si>
  <si>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</si>
  <si>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</si>
  <si>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</si>
  <si>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</si>
  <si>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</si>
  <si>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</si>
  <si>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</si>
  <si>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</si>
  <si>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</si>
  <si>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</si>
  <si>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</si>
  <si>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</si>
  <si>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</si>
  <si>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</si>
  <si>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</si>
  <si>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</si>
  <si>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</si>
  <si>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</si>
  <si>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</si>
  <si>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</si>
  <si>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</si>
  <si>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</si>
  <si>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</si>
  <si>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</si>
  <si>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</si>
  <si>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</si>
  <si>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</si>
  <si>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</si>
  <si>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</si>
  <si>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</si>
  <si>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</si>
  <si>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</si>
  <si>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</si>
  <si>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</si>
  <si>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</si>
  <si>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</si>
  <si>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</si>
  <si>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</si>
  <si>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</si>
  <si>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</si>
  <si>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</si>
  <si>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</si>
  <si>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</si>
  <si>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</si>
  <si>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</si>
  <si>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</si>
  <si>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</si>
  <si>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</si>
  <si>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</si>
  <si>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</si>
  <si>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</si>
  <si>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</si>
  <si>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</si>
  <si>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</si>
  <si>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</si>
  <si>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</si>
  <si>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</si>
  <si>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</si>
  <si>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</si>
  <si>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</si>
  <si>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</si>
  <si>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</si>
  <si>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</si>
  <si>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</si>
  <si>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</si>
  <si>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</si>
  <si>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</si>
  <si>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</si>
  <si>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</si>
  <si>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</si>
  <si>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</si>
  <si>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</si>
  <si>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</si>
  <si>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</si>
  <si>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</si>
  <si>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</si>
  <si>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</si>
  <si>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</si>
  <si>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</si>
  <si>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</si>
  <si>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</si>
  <si>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</si>
  <si>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</si>
  <si>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</si>
  <si>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</si>
  <si>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</si>
  <si>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</si>
  <si>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</si>
  <si>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</si>
  <si>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</si>
  <si>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</si>
  <si>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</si>
  <si>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</si>
  <si>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</si>
  <si>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</si>
  <si>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</si>
  <si>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</si>
  <si>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</si>
  <si>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</si>
  <si>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</si>
  <si>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</si>
  <si>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</si>
  <si>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</si>
  <si>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</si>
  <si>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</si>
  <si>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</si>
  <si>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</si>
  <si>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</si>
  <si>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</si>
  <si>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</si>
  <si>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</si>
  <si>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</si>
  <si>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</si>
  <si>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</si>
  <si>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</si>
  <si>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</si>
  <si>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</si>
  <si>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</si>
  <si>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</si>
  <si>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</si>
  <si>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</si>
  <si>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</si>
  <si>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</si>
  <si>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</si>
  <si>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</si>
  <si>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</si>
  <si>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</si>
  <si>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</si>
  <si>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</si>
  <si>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</si>
  <si>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</si>
  <si>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</si>
  <si>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</si>
  <si>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</si>
  <si>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</si>
  <si>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</si>
  <si>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</si>
  <si>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</si>
  <si>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</si>
  <si>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</si>
  <si>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</si>
  <si>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</si>
  <si>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</si>
  <si>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</si>
  <si>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</si>
  <si>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</si>
  <si>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</si>
  <si>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</si>
  <si>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</si>
  <si>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</si>
  <si>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</si>
  <si>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</si>
  <si>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</si>
  <si>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</si>
  <si>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</si>
  <si>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</si>
  <si>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</si>
  <si>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</si>
  <si>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</si>
  <si>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</si>
  <si>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</si>
  <si>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</si>
  <si>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</si>
  <si>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</si>
  <si>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</si>
  <si>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</si>
  <si>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</si>
  <si>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</si>
  <si>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</si>
  <si>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</si>
  <si>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</si>
  <si>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</si>
  <si>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</si>
  <si>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</si>
  <si>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</si>
  <si>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</si>
  <si>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</si>
  <si>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</si>
  <si>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</si>
  <si>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</si>
  <si>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</si>
  <si>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</si>
  <si>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</si>
  <si>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</si>
  <si>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</si>
  <si>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</si>
  <si>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</si>
  <si>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</si>
  <si>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</si>
  <si>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</si>
  <si>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</si>
  <si>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</si>
  <si>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</si>
  <si>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</si>
  <si>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</si>
  <si>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</si>
  <si>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</si>
  <si>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</si>
  <si>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</si>
  <si>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</si>
  <si>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</si>
  <si>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</si>
  <si>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</si>
  <si>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</si>
  <si>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</si>
  <si>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</si>
  <si>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</si>
  <si>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</si>
  <si>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</si>
  <si>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</si>
  <si>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</si>
  <si>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</si>
  <si>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</si>
  <si>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</si>
  <si>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</si>
  <si>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</si>
  <si>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</si>
  <si>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</si>
  <si>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</si>
  <si>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</si>
  <si>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</si>
  <si>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</si>
  <si>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</si>
  <si>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</si>
  <si>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</si>
  <si>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</si>
  <si>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</si>
  <si>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</si>
  <si>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</si>
  <si>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</si>
  <si>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</si>
  <si>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</si>
  <si>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</si>
  <si>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</si>
  <si>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</si>
  <si>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</si>
  <si>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</si>
  <si>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</si>
  <si>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</si>
  <si>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</si>
  <si>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</si>
  <si>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</si>
  <si>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</si>
  <si>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</si>
  <si>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</si>
  <si>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</si>
  <si>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</si>
  <si>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</si>
  <si>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</si>
  <si>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</si>
  <si>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</si>
  <si>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</si>
  <si>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</si>
  <si>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</si>
  <si>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</si>
  <si>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</si>
  <si>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</si>
  <si>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</si>
  <si>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</si>
  <si>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</si>
  <si>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</si>
  <si>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</si>
  <si>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</si>
  <si>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</si>
  <si>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</si>
  <si>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</si>
  <si>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</si>
  <si>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</si>
  <si>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</si>
  <si>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</si>
  <si>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</si>
  <si>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</si>
  <si>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t xml:space="preserve">Wynik z tytułu prowizji / dochody ogółem </t>
  </si>
  <si>
    <t xml:space="preserve">Należności netto od klientów / zobowiązania wobec klientów </t>
  </si>
  <si>
    <t xml:space="preserve">Wartość księgowa na jedną akcję (w zł) </t>
  </si>
  <si>
    <t>Selected Financial Ratios of Santander Bank Polska Group</t>
  </si>
  <si>
    <t>Q1 2018</t>
  </si>
  <si>
    <t xml:space="preserve">Total costs/Total income </t>
  </si>
  <si>
    <t>Net interest income/Total income</t>
  </si>
  <si>
    <t xml:space="preserve">Net commission income/Total income </t>
  </si>
  <si>
    <t xml:space="preserve">Customer net loans/Customer deposits </t>
  </si>
  <si>
    <t xml:space="preserve">Book value per share (in PLN) </t>
  </si>
  <si>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</si>
  <si>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</si>
  <si>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</si>
  <si>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</si>
  <si>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</si>
  <si>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</si>
  <si>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</si>
  <si>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</si>
  <si>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</si>
  <si>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</si>
  <si>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</si>
  <si>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</si>
  <si>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</si>
  <si>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</si>
  <si>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</si>
  <si>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</si>
  <si>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</si>
  <si>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</si>
  <si>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</si>
  <si>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</si>
  <si>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</si>
  <si>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</si>
  <si>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</si>
  <si>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</si>
  <si>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</si>
  <si>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</si>
  <si>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</si>
  <si>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</si>
  <si>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</si>
  <si>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</si>
  <si>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</si>
  <si>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</si>
  <si>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</si>
  <si>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</si>
  <si>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</si>
  <si>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</si>
  <si>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</si>
  <si>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</si>
  <si>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</si>
  <si>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</si>
  <si>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</si>
  <si>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</si>
  <si>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</si>
  <si>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</si>
  <si>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</si>
  <si>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</si>
  <si>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</si>
  <si>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</si>
  <si>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</si>
  <si>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</si>
  <si>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</si>
  <si>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</si>
  <si>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</si>
  <si>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</si>
  <si>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</si>
  <si>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</si>
  <si>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</si>
  <si>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</si>
  <si>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</si>
  <si>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</si>
  <si>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</si>
  <si>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</si>
  <si>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</si>
  <si>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</si>
  <si>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</si>
  <si>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</si>
  <si>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</si>
  <si>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</si>
  <si>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</si>
  <si>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</si>
  <si>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</si>
  <si>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</si>
  <si>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</si>
  <si>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</si>
  <si>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</si>
  <si>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</si>
  <si>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</si>
  <si>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</si>
  <si>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</si>
  <si>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</si>
  <si>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</si>
  <si>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</si>
  <si>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</si>
  <si>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</si>
  <si>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</si>
  <si>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</si>
  <si>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</si>
  <si>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</si>
  <si>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</si>
  <si>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</si>
  <si>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</si>
  <si>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</si>
  <si>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</si>
  <si>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</si>
  <si>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</si>
  <si>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</si>
  <si>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</si>
  <si>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</si>
  <si>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</si>
  <si>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</si>
  <si>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</si>
  <si>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</si>
  <si>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</si>
  <si>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</si>
  <si>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</si>
  <si>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</si>
  <si>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</si>
  <si>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</si>
  <si>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</si>
  <si>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</si>
  <si>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</si>
  <si>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</si>
  <si>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</si>
  <si>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</si>
  <si>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</si>
  <si>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</si>
  <si>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</si>
  <si>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</si>
  <si>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</si>
  <si>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</si>
  <si>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</si>
  <si>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</si>
  <si>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</si>
  <si>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</si>
  <si>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</si>
  <si>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</si>
  <si>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</si>
  <si>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</si>
  <si>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</si>
  <si>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</si>
  <si>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</si>
  <si>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</si>
  <si>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</si>
  <si>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</si>
  <si>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</si>
  <si>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</si>
  <si>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</si>
  <si>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</si>
  <si>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</si>
  <si>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</si>
  <si>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</si>
  <si>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</si>
  <si>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</si>
  <si>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</si>
  <si>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</si>
  <si>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</si>
  <si>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</si>
  <si>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</si>
  <si>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</si>
  <si>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</si>
  <si>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</si>
  <si>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</si>
  <si>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</si>
  <si>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</si>
  <si>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</si>
  <si>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</si>
  <si>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</si>
  <si>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</si>
  <si>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</si>
  <si>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</si>
  <si>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</si>
  <si>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</si>
  <si>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</si>
  <si>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</si>
  <si>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</si>
  <si>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</si>
  <si>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</si>
  <si>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</si>
  <si>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</si>
  <si>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</si>
  <si>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</si>
  <si>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</si>
  <si>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</si>
  <si>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</si>
  <si>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</si>
  <si>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</si>
  <si>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</si>
  <si>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</si>
  <si>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</si>
  <si>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</si>
  <si>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</si>
  <si>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</si>
  <si>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</si>
  <si>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</si>
  <si>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</si>
  <si>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</si>
  <si>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</si>
  <si>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</si>
  <si>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</si>
  <si>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</si>
  <si>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</si>
  <si>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</si>
  <si>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</si>
  <si>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</si>
  <si>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</si>
  <si>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</si>
  <si>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</si>
  <si>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</si>
  <si>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</si>
  <si>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</si>
  <si>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</si>
  <si>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</si>
  <si>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</si>
  <si>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</si>
  <si>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</si>
  <si>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</si>
  <si>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</si>
  <si>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</si>
  <si>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</si>
  <si>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</si>
  <si>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</si>
  <si>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</si>
  <si>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</si>
  <si>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</si>
  <si>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</si>
  <si>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</si>
  <si>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</si>
  <si>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</si>
  <si>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</si>
  <si>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</si>
  <si>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</si>
  <si>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</si>
  <si>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</si>
  <si>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</si>
  <si>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</si>
  <si>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</si>
  <si>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</si>
  <si>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</si>
  <si>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</si>
  <si>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</si>
  <si>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</si>
  <si>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Zmiana wartości godziwej inwestycyjnych aktywów finansowych obowiązkowo wycenianych 
w wartości godziwej przez wynik finansowy</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</si>
  <si>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</si>
  <si>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</si>
  <si>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</si>
  <si>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</si>
  <si>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</si>
  <si>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</si>
  <si>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</si>
  <si>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</si>
  <si>
    <t>4Q 2020</t>
  </si>
  <si>
    <t>IV Q 2020</t>
  </si>
  <si>
    <t>345 340 1% 10%</t>
  </si>
  <si>
    <t>Transakcyjne 778 767 1% 7%</t>
  </si>
  <si>
    <t>Kredyty+ Ubezpieczenia 525 505 4% -16%</t>
  </si>
  <si>
    <t>Rynki kapitałowe* 354 342 4% 23%</t>
  </si>
  <si>
    <t>Inne 150 174 -13% 5%</t>
  </si>
  <si>
    <t>Razem 2 152 2 128 1% 3%</t>
  </si>
  <si>
    <t>kredyty i pożyczki od instytucji finansowych</t>
  </si>
  <si>
    <t>Charge of provisions for legal risk portfolio</t>
  </si>
  <si>
    <t>1Q 2021</t>
  </si>
  <si>
    <t>I Q 2021</t>
  </si>
  <si>
    <t>Q1-4 2020</t>
  </si>
  <si>
    <t xml:space="preserve">Marża odsetkowa netto 1) </t>
  </si>
  <si>
    <t>Net interest margin 1)</t>
  </si>
  <si>
    <t>Wskaźnik kredytów niepracujących 2)</t>
  </si>
  <si>
    <t>NPL ratio 2)</t>
  </si>
  <si>
    <t>Wskaźnik pokrycia rezerwą kredytów niepracujących 3)</t>
  </si>
  <si>
    <t>NPL coverage ratio 3)</t>
  </si>
  <si>
    <t>Wskaźnik kosztu ryzyka kredytowego 4)</t>
  </si>
  <si>
    <t>Credit risk ratio 4)</t>
  </si>
  <si>
    <t xml:space="preserve">ROE (zwrot z kapitału) 5) </t>
  </si>
  <si>
    <t>ROE 5)</t>
  </si>
  <si>
    <t>ROTE (zwrot z kapitału materialnego) 6)</t>
  </si>
  <si>
    <t>ROTE 6)</t>
  </si>
  <si>
    <t xml:space="preserve">ROA (zwrot z aktywów) 7) </t>
  </si>
  <si>
    <t>ROA 7)</t>
  </si>
  <si>
    <t>Współczynnik kapitałowy 8)</t>
  </si>
  <si>
    <t>Capital ratio 8)</t>
  </si>
  <si>
    <t xml:space="preserve">Współczynnik kapitału  Tier I 9) </t>
  </si>
  <si>
    <t>Tier I ratio 9)</t>
  </si>
  <si>
    <t xml:space="preserve">Zysk na jedną akcję zwykłą (w zł) 10) </t>
  </si>
  <si>
    <t>Earnings per share (in PLN) 10)</t>
  </si>
  <si>
    <r>
      <t xml:space="preserve">Zatrudnienie </t>
    </r>
    <r>
      <rPr>
        <vertAlign val="superscript"/>
        <sz val="7"/>
        <color theme="1"/>
        <rFont val="Open Sans"/>
        <family val="2"/>
        <charset val="238"/>
      </rPr>
      <t>4)</t>
    </r>
  </si>
  <si>
    <r>
      <t xml:space="preserve">Aktywa netto funduszy inwestycyjnych </t>
    </r>
    <r>
      <rPr>
        <vertAlign val="superscript"/>
        <sz val="7"/>
        <color theme="1"/>
        <rFont val="Open Sans"/>
        <family val="2"/>
        <charset val="238"/>
      </rPr>
      <t>5)</t>
    </r>
  </si>
  <si>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</si>
  <si>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t xml:space="preserve">Małe akwizycyjne jednostki Santander Bank Polska S.A. raportowane są odrębnie od końca 2019 r. </t>
  </si>
  <si>
    <t>Q1 2021</t>
  </si>
  <si>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</si>
  <si>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</si>
  <si>
    <t xml:space="preserve">Small acquisition units are reported separately, starting from end-2019. </t>
  </si>
  <si>
    <t xml:space="preserve">Zatrudnienie w Grupie Santander Bank Polska S.A. zostało skorygowane wstecznie o etaty w Santander Consumer Bank S.A. niespełniające kryteria klasyfikacji. </t>
  </si>
  <si>
    <t>Employment with Santander Bank Polska S.A. Group has been adjusted for posts at Santander Consumer Bank S.A. that do not meet the classification criteria.</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</si>
  <si>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</si>
  <si>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</si>
  <si>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</si>
  <si>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Tier 1 capital ratio calculated as a quotient of Tier 1 capital and risk-weighted assets for credit, market and operational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</si>
</sst>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 numFmtId="170" formatCode="#,##0_ ;\-#,##0\ "/>
  </numFmts>
  <fonts count="99">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i/>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b/>
      <sz val="8"/>
      <color theme="1"/>
      <name val="Open Sans"/>
      <family val="2"/>
      <charset val="238"/>
    </font>
    <font>
      <sz val="8"/>
      <color rgb="FFFF0000"/>
      <name val="Open Sans"/>
      <family val="2"/>
      <charset val="238"/>
    </font>
    <font>
      <sz val="8"/>
      <color theme="0"/>
      <name val="Open Sans"/>
      <family val="2"/>
      <charset val="238"/>
    </font>
  </fonts>
  <fills count="1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87">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2" fillId="0" borderId="0" xfId="21871" applyFont="1"/>
    <xf numFmtId="0" fontId="53" fillId="10" borderId="19" xfId="21871" applyFont="1" applyFill="1" applyBorder="1" applyAlignment="1">
      <alignment vertical="center" wrapText="1"/>
    </xf>
    <xf numFmtId="0" fontId="53" fillId="10" borderId="19" xfId="21871" applyFont="1" applyFill="1" applyBorder="1" applyAlignment="1">
      <alignment horizontal="right" vertical="center" wrapText="1"/>
    </xf>
    <xf numFmtId="0" fontId="54" fillId="10" borderId="0" xfId="21871" applyFont="1" applyFill="1" applyBorder="1" applyAlignment="1">
      <alignment horizontal="left" vertical="center" wrapText="1"/>
    </xf>
    <xf numFmtId="0" fontId="54" fillId="10" borderId="0" xfId="21871" applyFont="1" applyFill="1" applyBorder="1" applyAlignment="1">
      <alignment horizontal="right" vertical="center" wrapText="1"/>
    </xf>
    <xf numFmtId="0" fontId="54" fillId="10" borderId="30" xfId="21871" applyFont="1" applyFill="1" applyBorder="1" applyAlignment="1">
      <alignment horizontal="left" vertical="center" wrapText="1"/>
    </xf>
    <xf numFmtId="0" fontId="54" fillId="10" borderId="30" xfId="21871" applyFont="1" applyFill="1" applyBorder="1" applyAlignment="1">
      <alignment horizontal="right" vertical="center" wrapText="1"/>
    </xf>
    <xf numFmtId="168" fontId="57" fillId="9" borderId="0" xfId="21871" applyNumberFormat="1" applyFont="1" applyFill="1" applyBorder="1" applyAlignment="1">
      <alignment horizontal="right" vertical="center" wrapText="1"/>
    </xf>
    <xf numFmtId="0" fontId="52" fillId="9" borderId="0" xfId="21871" applyFont="1" applyFill="1"/>
    <xf numFmtId="0" fontId="54" fillId="9" borderId="0" xfId="21871" applyFont="1" applyFill="1" applyBorder="1" applyAlignment="1">
      <alignment horizontal="left" vertical="center" wrapText="1"/>
    </xf>
    <xf numFmtId="0" fontId="54" fillId="10" borderId="30" xfId="21871" applyFont="1" applyFill="1" applyBorder="1" applyAlignment="1">
      <alignment horizontal="left" wrapText="1"/>
    </xf>
    <xf numFmtId="3" fontId="55" fillId="0" borderId="0" xfId="21871" applyNumberFormat="1" applyFont="1" applyFill="1" applyBorder="1" applyAlignment="1">
      <alignment horizontal="right" vertical="center" wrapText="1"/>
    </xf>
    <xf numFmtId="3" fontId="54" fillId="0" borderId="0" xfId="21871" applyNumberFormat="1" applyFont="1"/>
    <xf numFmtId="0" fontId="51" fillId="0" borderId="0" xfId="0" applyFont="1" applyAlignment="1">
      <alignment horizontal="right" vertical="top" wrapText="1" indent="1"/>
    </xf>
    <xf numFmtId="3" fontId="55"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8" fillId="0" borderId="0" xfId="0" applyFont="1"/>
    <xf numFmtId="165" fontId="58"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4" fillId="10" borderId="32" xfId="21871" applyFont="1" applyFill="1" applyBorder="1" applyAlignment="1">
      <alignment horizontal="left" vertical="center" wrapText="1"/>
    </xf>
    <xf numFmtId="0" fontId="54" fillId="10" borderId="32" xfId="21871" applyFont="1" applyFill="1" applyBorder="1" applyAlignment="1">
      <alignment horizontal="right" vertical="center" wrapText="1"/>
    </xf>
    <xf numFmtId="0" fontId="54" fillId="10" borderId="33" xfId="21871" applyFont="1" applyFill="1" applyBorder="1" applyAlignment="1">
      <alignment horizontal="left" vertical="center" wrapText="1"/>
    </xf>
    <xf numFmtId="0" fontId="54" fillId="10" borderId="33" xfId="21871" applyFont="1" applyFill="1" applyBorder="1" applyAlignment="1">
      <alignment horizontal="right" vertical="center" wrapText="1"/>
    </xf>
    <xf numFmtId="0" fontId="54" fillId="10" borderId="34" xfId="21871" applyFont="1" applyFill="1" applyBorder="1" applyAlignment="1">
      <alignment horizontal="left" vertical="center" wrapText="1"/>
    </xf>
    <xf numFmtId="44" fontId="54" fillId="10" borderId="34" xfId="21875" applyFont="1" applyFill="1" applyBorder="1" applyAlignment="1">
      <alignment horizontal="left" vertical="center" wrapText="1"/>
    </xf>
    <xf numFmtId="0" fontId="54" fillId="10" borderId="34" xfId="21871" applyFont="1" applyFill="1" applyBorder="1" applyAlignment="1">
      <alignment horizontal="right" vertical="center" wrapText="1"/>
    </xf>
    <xf numFmtId="44" fontId="54" fillId="10" borderId="34" xfId="21875" applyFont="1" applyFill="1" applyBorder="1" applyAlignment="1">
      <alignment horizontal="right" vertical="center" wrapText="1"/>
    </xf>
    <xf numFmtId="3" fontId="55" fillId="0" borderId="32" xfId="21871" applyNumberFormat="1" applyFont="1" applyFill="1" applyBorder="1" applyAlignment="1">
      <alignment horizontal="right" vertical="center" wrapText="1"/>
    </xf>
    <xf numFmtId="3" fontId="55" fillId="0" borderId="33" xfId="21871" applyNumberFormat="1" applyFont="1" applyFill="1" applyBorder="1" applyAlignment="1">
      <alignment horizontal="right" vertical="center" wrapText="1"/>
    </xf>
    <xf numFmtId="3" fontId="55" fillId="0" borderId="34" xfId="21871" applyNumberFormat="1" applyFont="1" applyFill="1" applyBorder="1" applyAlignment="1">
      <alignment horizontal="right" vertical="center" wrapText="1"/>
    </xf>
    <xf numFmtId="0" fontId="53" fillId="0" borderId="19" xfId="21871" applyFont="1" applyFill="1" applyBorder="1" applyAlignment="1">
      <alignment horizontal="right" vertical="center" wrapText="1"/>
    </xf>
    <xf numFmtId="0" fontId="52" fillId="0" borderId="0" xfId="21871" applyFont="1" applyFill="1"/>
    <xf numFmtId="3" fontId="57"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6" fillId="10" borderId="0" xfId="21871" applyFont="1" applyFill="1" applyBorder="1" applyAlignment="1">
      <alignment horizontal="left" vertical="center" wrapText="1"/>
    </xf>
    <xf numFmtId="0" fontId="52" fillId="0" borderId="0" xfId="21871" applyFont="1" applyAlignment="1">
      <alignment horizontal="right"/>
    </xf>
    <xf numFmtId="0" fontId="51" fillId="0" borderId="0" xfId="0" applyFont="1" applyAlignment="1">
      <alignment horizontal="justify" vertical="top" wrapText="1"/>
    </xf>
    <xf numFmtId="0" fontId="60" fillId="0" borderId="0" xfId="0" applyFont="1" applyAlignment="1">
      <alignment wrapText="1"/>
    </xf>
    <xf numFmtId="0" fontId="60" fillId="0" borderId="0" xfId="0" applyFont="1"/>
    <xf numFmtId="165" fontId="58" fillId="0" borderId="0" xfId="0" applyNumberFormat="1" applyFont="1" applyAlignment="1">
      <alignment wrapText="1"/>
    </xf>
    <xf numFmtId="0" fontId="26" fillId="0" borderId="1" xfId="0" applyFont="1" applyBorder="1" applyAlignment="1">
      <alignment horizontal="left"/>
    </xf>
    <xf numFmtId="0" fontId="51" fillId="0" borderId="0" xfId="0" applyFont="1" applyAlignment="1">
      <alignment horizontal="left" vertical="top" wrapText="1" indent="1"/>
    </xf>
    <xf numFmtId="14" fontId="61" fillId="0" borderId="17" xfId="0" applyNumberFormat="1" applyFont="1" applyBorder="1" applyAlignment="1">
      <alignment horizontal="right" vertical="center"/>
    </xf>
    <xf numFmtId="165" fontId="62" fillId="0" borderId="13" xfId="0" applyNumberFormat="1" applyFont="1" applyBorder="1" applyAlignment="1">
      <alignment horizontal="right" vertical="center" indent="1"/>
    </xf>
    <xf numFmtId="165" fontId="63" fillId="0" borderId="13" xfId="0" applyNumberFormat="1" applyFont="1" applyBorder="1" applyAlignment="1">
      <alignment horizontal="right" vertical="center" indent="1"/>
    </xf>
    <xf numFmtId="165" fontId="64" fillId="0" borderId="18" xfId="0" applyNumberFormat="1" applyFont="1" applyBorder="1" applyAlignment="1">
      <alignment horizontal="right" vertical="center"/>
    </xf>
    <xf numFmtId="14" fontId="61" fillId="0" borderId="19" xfId="0" applyNumberFormat="1" applyFont="1" applyBorder="1" applyAlignment="1">
      <alignment horizontal="right" vertical="center" wrapText="1"/>
    </xf>
    <xf numFmtId="165" fontId="63" fillId="0" borderId="0" xfId="0" applyNumberFormat="1" applyFont="1" applyAlignment="1">
      <alignment horizontal="right" vertical="center" wrapText="1"/>
    </xf>
    <xf numFmtId="0" fontId="63"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5"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0" fillId="0" borderId="0" xfId="0" applyNumberFormat="1" applyFont="1"/>
    <xf numFmtId="3" fontId="66"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7" fillId="0" borderId="0" xfId="0" applyFont="1" applyFill="1"/>
    <xf numFmtId="0" fontId="67" fillId="0" borderId="0" xfId="0" applyFont="1"/>
    <xf numFmtId="3" fontId="55"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165" fontId="67" fillId="0" borderId="0" xfId="0" applyNumberFormat="1" applyFont="1"/>
    <xf numFmtId="0" fontId="68" fillId="0" borderId="0" xfId="0" applyFont="1"/>
    <xf numFmtId="166" fontId="66" fillId="0" borderId="0" xfId="0" applyNumberFormat="1" applyFont="1"/>
    <xf numFmtId="168" fontId="0" fillId="0" borderId="0" xfId="0" applyNumberFormat="1"/>
    <xf numFmtId="3" fontId="0" fillId="0" borderId="0" xfId="0" applyNumberFormat="1"/>
    <xf numFmtId="0" fontId="66" fillId="0" borderId="0" xfId="0" applyFont="1"/>
    <xf numFmtId="0" fontId="32" fillId="0" borderId="0" xfId="0" applyFont="1" applyFill="1"/>
    <xf numFmtId="0" fontId="26" fillId="0" borderId="0" xfId="0" applyFont="1"/>
    <xf numFmtId="165" fontId="32" fillId="0" borderId="0" xfId="16890" applyNumberFormat="1" applyFont="1" applyFill="1" applyBorder="1" applyAlignment="1">
      <alignment horizontal="right" indent="1"/>
    </xf>
    <xf numFmtId="165" fontId="26" fillId="0" borderId="0" xfId="0" applyNumberFormat="1" applyFont="1"/>
    <xf numFmtId="14" fontId="69" fillId="0" borderId="19" xfId="0" applyNumberFormat="1" applyFont="1" applyBorder="1" applyAlignment="1">
      <alignment horizontal="right" vertical="center" wrapText="1"/>
    </xf>
    <xf numFmtId="165" fontId="70" fillId="0" borderId="0" xfId="0" applyNumberFormat="1" applyFont="1" applyAlignment="1">
      <alignment horizontal="right" vertical="center" wrapText="1"/>
    </xf>
    <xf numFmtId="0" fontId="70" fillId="0" borderId="13" xfId="0" applyFont="1" applyBorder="1" applyAlignment="1">
      <alignment horizontal="left" vertical="center" wrapText="1"/>
    </xf>
    <xf numFmtId="165" fontId="71" fillId="0" borderId="13" xfId="0" applyNumberFormat="1" applyFont="1" applyBorder="1" applyAlignment="1">
      <alignment horizontal="right" vertical="center" indent="1"/>
    </xf>
    <xf numFmtId="165" fontId="70"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0" fillId="0" borderId="0" xfId="0" applyNumberFormat="1" applyFont="1" applyFill="1"/>
    <xf numFmtId="169" fontId="67" fillId="0" borderId="0" xfId="0" applyNumberFormat="1" applyFont="1" applyFill="1"/>
    <xf numFmtId="0" fontId="60" fillId="0" borderId="0" xfId="0" applyFont="1" applyFill="1" applyAlignment="1">
      <alignment wrapText="1"/>
    </xf>
    <xf numFmtId="0" fontId="60" fillId="0" borderId="0" xfId="0" applyFont="1" applyFill="1"/>
    <xf numFmtId="0" fontId="29" fillId="0" borderId="0" xfId="0" applyFont="1" applyFill="1" applyAlignment="1">
      <alignment wrapText="1"/>
    </xf>
    <xf numFmtId="0" fontId="72"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3" fillId="0" borderId="0" xfId="0" applyNumberFormat="1" applyFont="1" applyFill="1"/>
    <xf numFmtId="0" fontId="66" fillId="0" borderId="0" xfId="0" applyFont="1" applyFill="1" applyAlignment="1">
      <alignment horizontal="right"/>
    </xf>
    <xf numFmtId="165" fontId="66" fillId="0" borderId="0" xfId="0" applyNumberFormat="1" applyFont="1" applyFill="1"/>
    <xf numFmtId="164" fontId="58" fillId="0" borderId="0" xfId="0" applyNumberFormat="1" applyFont="1"/>
    <xf numFmtId="4" fontId="66" fillId="0" borderId="0" xfId="0" applyNumberFormat="1" applyFont="1" applyFill="1" applyAlignment="1">
      <alignment horizontal="right"/>
    </xf>
    <xf numFmtId="4" fontId="66" fillId="0" borderId="0" xfId="0" applyNumberFormat="1" applyFont="1" applyFill="1"/>
    <xf numFmtId="0" fontId="26" fillId="0" borderId="0" xfId="0" applyFont="1" applyFill="1"/>
    <xf numFmtId="0" fontId="58" fillId="0" borderId="0" xfId="0" applyFont="1" applyBorder="1"/>
    <xf numFmtId="165" fontId="18" fillId="0" borderId="13" xfId="0" applyNumberFormat="1" applyFont="1" applyFill="1" applyBorder="1" applyAlignment="1">
      <alignment horizontal="right" vertical="center" indent="1"/>
    </xf>
    <xf numFmtId="165" fontId="63" fillId="0" borderId="13" xfId="0" applyNumberFormat="1" applyFont="1" applyFill="1" applyBorder="1" applyAlignment="1">
      <alignment horizontal="right" vertical="center" indent="1"/>
    </xf>
    <xf numFmtId="165" fontId="58"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4"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5"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0" fontId="51"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0" fontId="76" fillId="0" borderId="0" xfId="0" applyFont="1"/>
    <xf numFmtId="0" fontId="77" fillId="0" borderId="22" xfId="0" applyFont="1" applyBorder="1" applyAlignment="1">
      <alignment horizontal="right" vertical="top"/>
    </xf>
    <xf numFmtId="165" fontId="78" fillId="0" borderId="13" xfId="0" applyNumberFormat="1" applyFont="1" applyBorder="1" applyAlignment="1">
      <alignment horizontal="right" vertical="center" indent="1"/>
    </xf>
    <xf numFmtId="165" fontId="79" fillId="0" borderId="18" xfId="0" applyNumberFormat="1" applyFont="1" applyBorder="1" applyAlignment="1">
      <alignment horizontal="right" vertical="center"/>
    </xf>
    <xf numFmtId="165" fontId="78" fillId="0" borderId="13" xfId="0" applyNumberFormat="1" applyFont="1" applyBorder="1" applyAlignment="1">
      <alignment horizontal="right" vertical="top" indent="1"/>
    </xf>
    <xf numFmtId="165" fontId="78" fillId="0" borderId="0" xfId="0" applyNumberFormat="1" applyFont="1" applyAlignment="1">
      <alignment horizontal="right" vertical="top" indent="1"/>
    </xf>
    <xf numFmtId="165" fontId="80" fillId="0" borderId="18" xfId="0" applyNumberFormat="1" applyFont="1" applyBorder="1" applyAlignment="1">
      <alignment horizontal="right" vertical="top"/>
    </xf>
    <xf numFmtId="165" fontId="78" fillId="0" borderId="13" xfId="0" applyNumberFormat="1" applyFont="1" applyBorder="1" applyAlignment="1">
      <alignment horizontal="right" indent="1"/>
    </xf>
    <xf numFmtId="165" fontId="39" fillId="0" borderId="0" xfId="0" applyNumberFormat="1" applyFont="1"/>
    <xf numFmtId="165" fontId="78" fillId="0" borderId="13" xfId="0" applyNumberFormat="1" applyFont="1" applyBorder="1" applyAlignment="1" applyProtection="1">
      <alignment horizontal="right" indent="1"/>
      <protection locked="0" hidden="1"/>
    </xf>
    <xf numFmtId="165" fontId="45" fillId="0" borderId="0" xfId="0" applyNumberFormat="1" applyFont="1"/>
    <xf numFmtId="14" fontId="53" fillId="10" borderId="19" xfId="21871" applyNumberFormat="1" applyFont="1" applyFill="1" applyBorder="1" applyAlignment="1">
      <alignment horizontal="right" vertical="center" wrapText="1"/>
    </xf>
    <xf numFmtId="14" fontId="53"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xf numFmtId="3" fontId="16" fillId="0" borderId="0" xfId="0" applyNumberFormat="1" applyFont="1"/>
    <xf numFmtId="0" fontId="26" fillId="0" borderId="43" xfId="16890" applyFont="1" applyFill="1" applyBorder="1" applyAlignment="1">
      <alignment horizontal="left" wrapText="1"/>
    </xf>
    <xf numFmtId="3" fontId="24" fillId="0" borderId="0" xfId="0" applyNumberFormat="1" applyFont="1"/>
    <xf numFmtId="0" fontId="16" fillId="0" borderId="43" xfId="16890" applyFont="1" applyFill="1" applyBorder="1" applyAlignment="1">
      <alignment horizontal="left" vertical="center" wrapText="1"/>
    </xf>
    <xf numFmtId="165" fontId="24" fillId="0" borderId="1" xfId="0" applyNumberFormat="1" applyFont="1" applyBorder="1" applyAlignment="1">
      <alignment horizontal="right" vertical="top" indent="1"/>
    </xf>
    <xf numFmtId="165" fontId="81" fillId="0" borderId="1" xfId="0" applyNumberFormat="1" applyFont="1" applyBorder="1" applyAlignment="1">
      <alignment horizontal="right" vertical="top" indent="1"/>
    </xf>
    <xf numFmtId="165" fontId="82" fillId="0" borderId="1" xfId="0" applyNumberFormat="1" applyFont="1" applyBorder="1" applyAlignment="1">
      <alignment horizontal="right" indent="1"/>
    </xf>
    <xf numFmtId="165" fontId="82" fillId="0" borderId="1" xfId="0" applyNumberFormat="1" applyFont="1" applyFill="1" applyBorder="1" applyAlignment="1">
      <alignment horizontal="right" indent="1"/>
    </xf>
    <xf numFmtId="165" fontId="83" fillId="0" borderId="1" xfId="0" applyNumberFormat="1" applyFont="1" applyFill="1" applyBorder="1" applyAlignment="1">
      <alignment horizontal="right" indent="1"/>
    </xf>
    <xf numFmtId="165" fontId="83" fillId="0" borderId="1" xfId="0" applyNumberFormat="1" applyFont="1" applyBorder="1" applyAlignment="1">
      <alignment horizontal="right" indent="1"/>
    </xf>
    <xf numFmtId="165" fontId="84" fillId="0" borderId="18" xfId="0" applyNumberFormat="1" applyFont="1" applyBorder="1" applyAlignment="1">
      <alignment horizontal="right" vertical="top"/>
    </xf>
    <xf numFmtId="165" fontId="24" fillId="0" borderId="0" xfId="0" applyNumberFormat="1" applyFont="1"/>
    <xf numFmtId="14" fontId="85" fillId="0" borderId="22" xfId="0" applyNumberFormat="1" applyFont="1" applyBorder="1" applyAlignment="1">
      <alignment horizontal="right" vertical="top"/>
    </xf>
    <xf numFmtId="165" fontId="86" fillId="0" borderId="13" xfId="0" applyNumberFormat="1" applyFont="1" applyBorder="1" applyAlignment="1">
      <alignment horizontal="right" vertical="top" indent="1"/>
    </xf>
    <xf numFmtId="165" fontId="87" fillId="0" borderId="13" xfId="0" applyNumberFormat="1" applyFont="1" applyBorder="1" applyAlignment="1">
      <alignment horizontal="right" vertical="top" indent="1"/>
    </xf>
    <xf numFmtId="165" fontId="88" fillId="0" borderId="18" xfId="0" applyNumberFormat="1" applyFont="1" applyBorder="1" applyAlignment="1">
      <alignment horizontal="right" vertical="top"/>
    </xf>
    <xf numFmtId="165" fontId="86" fillId="0" borderId="25" xfId="0" applyNumberFormat="1" applyFont="1" applyBorder="1" applyAlignment="1">
      <alignment horizontal="right" vertical="top" indent="1"/>
    </xf>
    <xf numFmtId="0" fontId="89" fillId="0" borderId="22" xfId="0" applyFont="1" applyBorder="1" applyAlignment="1">
      <alignment horizontal="right" vertical="top"/>
    </xf>
    <xf numFmtId="165" fontId="82" fillId="0" borderId="13" xfId="0" applyNumberFormat="1" applyFont="1" applyBorder="1" applyAlignment="1">
      <alignment horizontal="right" vertical="center" indent="1"/>
    </xf>
    <xf numFmtId="165" fontId="88" fillId="0" borderId="18" xfId="0" applyNumberFormat="1" applyFont="1" applyBorder="1" applyAlignment="1">
      <alignment horizontal="right" vertical="center"/>
    </xf>
    <xf numFmtId="165" fontId="82" fillId="0" borderId="13" xfId="0" applyNumberFormat="1" applyFont="1" applyBorder="1" applyAlignment="1">
      <alignment horizontal="right" vertical="top" indent="1"/>
    </xf>
    <xf numFmtId="165" fontId="82" fillId="0" borderId="0" xfId="0" applyNumberFormat="1" applyFont="1" applyAlignment="1">
      <alignment horizontal="right" vertical="top" indent="1"/>
    </xf>
    <xf numFmtId="165" fontId="82" fillId="0" borderId="13" xfId="0" applyNumberFormat="1" applyFont="1" applyBorder="1" applyAlignment="1" applyProtection="1">
      <alignment horizontal="right" vertical="top" indent="1"/>
      <protection locked="0" hidden="1"/>
    </xf>
    <xf numFmtId="0" fontId="81" fillId="0" borderId="0" xfId="0" applyFont="1"/>
    <xf numFmtId="0" fontId="0" fillId="0" borderId="0" xfId="0" applyFont="1"/>
    <xf numFmtId="165" fontId="73" fillId="0" borderId="13" xfId="16890" applyNumberFormat="1" applyFont="1" applyFill="1" applyBorder="1" applyAlignment="1">
      <alignment horizontal="right" vertical="center" indent="1"/>
    </xf>
    <xf numFmtId="165" fontId="15" fillId="0" borderId="0" xfId="16890" applyNumberFormat="1" applyFont="1" applyFill="1" applyBorder="1" applyAlignment="1">
      <alignment horizontal="center" vertical="center"/>
    </xf>
    <xf numFmtId="0" fontId="82" fillId="0" borderId="0" xfId="0" applyNumberFormat="1" applyFont="1" applyFill="1"/>
    <xf numFmtId="0" fontId="82" fillId="0" borderId="0" xfId="0" applyFont="1" applyFill="1"/>
    <xf numFmtId="0" fontId="81" fillId="0" borderId="0" xfId="0" applyNumberFormat="1" applyFont="1" applyBorder="1" applyAlignment="1"/>
    <xf numFmtId="0" fontId="81" fillId="0" borderId="0" xfId="0" applyNumberFormat="1" applyFont="1" applyAlignment="1"/>
    <xf numFmtId="0" fontId="82" fillId="0" borderId="0" xfId="0" applyNumberFormat="1" applyFont="1" applyFill="1" applyBorder="1" applyAlignment="1"/>
    <xf numFmtId="0" fontId="82" fillId="0" borderId="0" xfId="0" applyFont="1"/>
    <xf numFmtId="4" fontId="24" fillId="0" borderId="0" xfId="0" applyNumberFormat="1" applyFont="1"/>
    <xf numFmtId="3" fontId="55" fillId="11" borderId="0" xfId="21871" applyNumberFormat="1" applyFont="1" applyFill="1" applyBorder="1" applyAlignment="1">
      <alignment horizontal="right" vertical="center" wrapText="1"/>
    </xf>
    <xf numFmtId="165" fontId="90" fillId="0" borderId="0" xfId="0" applyNumberFormat="1" applyFont="1"/>
    <xf numFmtId="0" fontId="90" fillId="0" borderId="0" xfId="0" applyFont="1"/>
    <xf numFmtId="0" fontId="91" fillId="0" borderId="0" xfId="0" applyFont="1"/>
    <xf numFmtId="43" fontId="90" fillId="0" borderId="0" xfId="0" applyNumberFormat="1" applyFont="1"/>
    <xf numFmtId="164" fontId="90" fillId="0" borderId="0" xfId="0" applyNumberFormat="1" applyFont="1"/>
    <xf numFmtId="165" fontId="21" fillId="0" borderId="0" xfId="0" applyNumberFormat="1" applyFont="1"/>
    <xf numFmtId="14" fontId="17" fillId="0" borderId="17" xfId="0" applyNumberFormat="1" applyFont="1" applyBorder="1" applyAlignment="1">
      <alignment horizontal="right" vertical="center"/>
    </xf>
    <xf numFmtId="165" fontId="19" fillId="0" borderId="18" xfId="0" applyNumberFormat="1" applyFont="1" applyBorder="1" applyAlignment="1">
      <alignment horizontal="right" vertical="center" wrapText="1"/>
    </xf>
    <xf numFmtId="165" fontId="46" fillId="0" borderId="0" xfId="0" applyNumberFormat="1" applyFont="1" applyBorder="1"/>
    <xf numFmtId="43" fontId="29" fillId="0" borderId="0" xfId="0" applyNumberFormat="1" applyFont="1"/>
    <xf numFmtId="169" fontId="29" fillId="0" borderId="0" xfId="0" applyNumberFormat="1" applyFont="1"/>
    <xf numFmtId="165" fontId="25" fillId="0" borderId="0" xfId="0" applyNumberFormat="1" applyFont="1"/>
    <xf numFmtId="165" fontId="32" fillId="0" borderId="0" xfId="0" applyNumberFormat="1" applyFont="1"/>
    <xf numFmtId="165" fontId="67" fillId="0" borderId="0" xfId="0" applyNumberFormat="1" applyFont="1" applyFill="1"/>
    <xf numFmtId="0" fontId="26" fillId="0" borderId="0" xfId="0" applyNumberFormat="1" applyFont="1" applyFill="1"/>
    <xf numFmtId="165" fontId="58" fillId="0" borderId="0" xfId="0" applyNumberFormat="1" applyFont="1" applyFill="1"/>
    <xf numFmtId="165" fontId="62" fillId="0" borderId="13" xfId="0" applyNumberFormat="1" applyFont="1" applyFill="1" applyBorder="1" applyAlignment="1">
      <alignment horizontal="right" vertical="center" indent="1"/>
    </xf>
    <xf numFmtId="14" fontId="92" fillId="0" borderId="22" xfId="0" applyNumberFormat="1" applyFont="1" applyBorder="1" applyAlignment="1">
      <alignment horizontal="right" vertical="top"/>
    </xf>
    <xf numFmtId="165" fontId="93" fillId="0" borderId="13" xfId="0" applyNumberFormat="1" applyFont="1" applyBorder="1" applyAlignment="1">
      <alignment horizontal="right" vertical="center"/>
    </xf>
    <xf numFmtId="165" fontId="94" fillId="0" borderId="13" xfId="0" applyNumberFormat="1" applyFont="1" applyBorder="1" applyAlignment="1">
      <alignment horizontal="right" vertical="center"/>
    </xf>
    <xf numFmtId="165" fontId="94" fillId="0" borderId="13" xfId="0" applyNumberFormat="1" applyFont="1" applyFill="1" applyBorder="1" applyAlignment="1">
      <alignment horizontal="right" vertical="center"/>
    </xf>
    <xf numFmtId="165" fontId="95" fillId="0" borderId="18" xfId="0" applyNumberFormat="1" applyFont="1" applyBorder="1" applyAlignment="1">
      <alignment horizontal="center" vertical="center"/>
    </xf>
    <xf numFmtId="165" fontId="96" fillId="0" borderId="0" xfId="0" applyNumberFormat="1" applyFont="1" applyAlignment="1">
      <alignment horizontal="center" vertical="center"/>
    </xf>
    <xf numFmtId="165" fontId="94" fillId="0" borderId="0" xfId="0" applyNumberFormat="1" applyFont="1" applyAlignment="1">
      <alignment horizontal="center" vertical="center"/>
    </xf>
    <xf numFmtId="165" fontId="97" fillId="0" borderId="0" xfId="0" applyNumberFormat="1" applyFont="1"/>
    <xf numFmtId="165" fontId="94" fillId="0" borderId="0" xfId="0" applyNumberFormat="1" applyFont="1"/>
    <xf numFmtId="165" fontId="93" fillId="0" borderId="0" xfId="0" applyNumberFormat="1" applyFont="1" applyAlignment="1">
      <alignment horizontal="right" vertical="center"/>
    </xf>
    <xf numFmtId="165" fontId="98" fillId="0" borderId="0" xfId="0" applyNumberFormat="1" applyFont="1"/>
    <xf numFmtId="165" fontId="66" fillId="0" borderId="0" xfId="16890" applyNumberFormat="1" applyFont="1" applyFill="1" applyBorder="1" applyAlignment="1">
      <alignment horizontal="center" vertical="center"/>
    </xf>
    <xf numFmtId="165" fontId="98" fillId="0" borderId="0" xfId="0" applyNumberFormat="1" applyFont="1" applyAlignment="1">
      <alignment horizontal="center" vertical="center"/>
    </xf>
    <xf numFmtId="0" fontId="26" fillId="0" borderId="0" xfId="16890" applyFont="1" applyFill="1" applyBorder="1" applyAlignment="1">
      <alignment horizontal="left" vertical="center" wrapText="1"/>
    </xf>
    <xf numFmtId="165" fontId="82" fillId="0" borderId="0" xfId="0" applyNumberFormat="1" applyFont="1" applyBorder="1" applyAlignment="1">
      <alignment horizontal="right" indent="1"/>
    </xf>
    <xf numFmtId="170" fontId="26" fillId="0" borderId="3" xfId="16890" applyNumberFormat="1" applyFont="1" applyFill="1" applyBorder="1" applyAlignment="1">
      <alignment horizontal="right" vertical="center"/>
    </xf>
    <xf numFmtId="0" fontId="51" fillId="0" borderId="0" xfId="0" applyFont="1" applyAlignment="1">
      <alignment vertical="top"/>
    </xf>
    <xf numFmtId="0" fontId="51" fillId="0" borderId="0" xfId="0" applyFont="1" applyAlignment="1">
      <alignment vertical="top" wrapText="1" shrinkToFit="1"/>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ro01scl\bzwbk\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13" Type="http://schemas.openxmlformats.org/officeDocument/2006/relationships/revisionLog" Target="NULL"/><Relationship Id="rId18" Type="http://schemas.openxmlformats.org/officeDocument/2006/relationships/revisionLog" Target="NULL"/><Relationship Id="rId26" Type="http://schemas.openxmlformats.org/officeDocument/2006/relationships/revisionLog" Target="NULL"/><Relationship Id="rId39" Type="http://schemas.openxmlformats.org/officeDocument/2006/relationships/revisionLog" Target="revisionLog10.xml"/><Relationship Id="rId21" Type="http://schemas.openxmlformats.org/officeDocument/2006/relationships/revisionLog" Target="NULL"/><Relationship Id="rId34" Type="http://schemas.openxmlformats.org/officeDocument/2006/relationships/revisionLog" Target="revisionLog5.xml"/><Relationship Id="rId3" Type="http://schemas.openxmlformats.org/officeDocument/2006/relationships/revisionLog" Target="NULL"/><Relationship Id="rId42" Type="http://schemas.openxmlformats.org/officeDocument/2006/relationships/revisionLog" Target="revisionLog13.xml"/><Relationship Id="rId47" Type="http://schemas.openxmlformats.org/officeDocument/2006/relationships/revisionLog" Target="revisionLog18.xml"/><Relationship Id="rId7" Type="http://schemas.openxmlformats.org/officeDocument/2006/relationships/revisionLog" Target="NULL"/><Relationship Id="rId12" Type="http://schemas.openxmlformats.org/officeDocument/2006/relationships/revisionLog" Target="NULL"/><Relationship Id="rId17" Type="http://schemas.openxmlformats.org/officeDocument/2006/relationships/revisionLog" Target="NULL"/><Relationship Id="rId25" Type="http://schemas.openxmlformats.org/officeDocument/2006/relationships/revisionLog" Target="NULL"/><Relationship Id="rId33" Type="http://schemas.openxmlformats.org/officeDocument/2006/relationships/revisionLog" Target="revisionLog4.xml"/><Relationship Id="rId38" Type="http://schemas.openxmlformats.org/officeDocument/2006/relationships/revisionLog" Target="revisionLog9.xml"/><Relationship Id="rId46" Type="http://schemas.openxmlformats.org/officeDocument/2006/relationships/revisionLog" Target="revisionLog17.xml"/><Relationship Id="rId2" Type="http://schemas.openxmlformats.org/officeDocument/2006/relationships/revisionLog" Target="NULL"/><Relationship Id="rId16" Type="http://schemas.openxmlformats.org/officeDocument/2006/relationships/revisionLog" Target="NULL"/><Relationship Id="rId20" Type="http://schemas.openxmlformats.org/officeDocument/2006/relationships/revisionLog" Target="NULL"/><Relationship Id="rId29" Type="http://schemas.openxmlformats.org/officeDocument/2006/relationships/revisionLog" Target="revisionLog29.xml"/><Relationship Id="rId41" Type="http://schemas.openxmlformats.org/officeDocument/2006/relationships/revisionLog" Target="revisionLog12.xml"/><Relationship Id="rId1" Type="http://schemas.openxmlformats.org/officeDocument/2006/relationships/revisionLog" Target="NULL"/><Relationship Id="rId6" Type="http://schemas.openxmlformats.org/officeDocument/2006/relationships/revisionLog" Target="NULL"/><Relationship Id="rId11" Type="http://schemas.openxmlformats.org/officeDocument/2006/relationships/revisionLog" Target="NULL"/><Relationship Id="rId24" Type="http://schemas.openxmlformats.org/officeDocument/2006/relationships/revisionLog" Target="NULL"/><Relationship Id="rId32" Type="http://schemas.openxmlformats.org/officeDocument/2006/relationships/revisionLog" Target="revisionLog3.xml"/><Relationship Id="rId37" Type="http://schemas.openxmlformats.org/officeDocument/2006/relationships/revisionLog" Target="revisionLog8.xml"/><Relationship Id="rId40" Type="http://schemas.openxmlformats.org/officeDocument/2006/relationships/revisionLog" Target="revisionLog11.xml"/><Relationship Id="rId45" Type="http://schemas.openxmlformats.org/officeDocument/2006/relationships/revisionLog" Target="revisionLog16.xml"/><Relationship Id="rId5" Type="http://schemas.openxmlformats.org/officeDocument/2006/relationships/revisionLog" Target="NULL"/><Relationship Id="rId15" Type="http://schemas.openxmlformats.org/officeDocument/2006/relationships/revisionLog" Target="NULL"/><Relationship Id="rId23" Type="http://schemas.openxmlformats.org/officeDocument/2006/relationships/revisionLog" Target="NULL"/><Relationship Id="rId28" Type="http://schemas.openxmlformats.org/officeDocument/2006/relationships/revisionLog" Target="NULL"/><Relationship Id="rId36" Type="http://schemas.openxmlformats.org/officeDocument/2006/relationships/revisionLog" Target="revisionLog7.xml"/><Relationship Id="rId49" Type="http://schemas.openxmlformats.org/officeDocument/2006/relationships/revisionLog" Target="revisionLog20.xml"/><Relationship Id="rId10" Type="http://schemas.openxmlformats.org/officeDocument/2006/relationships/revisionLog" Target="NULL"/><Relationship Id="rId19" Type="http://schemas.openxmlformats.org/officeDocument/2006/relationships/revisionLog" Target="NULL"/><Relationship Id="rId31" Type="http://schemas.openxmlformats.org/officeDocument/2006/relationships/revisionLog" Target="revisionLog2.xml"/><Relationship Id="rId44" Type="http://schemas.openxmlformats.org/officeDocument/2006/relationships/revisionLog" Target="revisionLog15.xml"/><Relationship Id="rId4" Type="http://schemas.openxmlformats.org/officeDocument/2006/relationships/revisionLog" Target="NULL"/><Relationship Id="rId9" Type="http://schemas.openxmlformats.org/officeDocument/2006/relationships/revisionLog" Target="NULL"/><Relationship Id="rId14" Type="http://schemas.openxmlformats.org/officeDocument/2006/relationships/revisionLog" Target="NULL"/><Relationship Id="rId22" Type="http://schemas.openxmlformats.org/officeDocument/2006/relationships/revisionLog" Target="NULL"/><Relationship Id="rId27" Type="http://schemas.openxmlformats.org/officeDocument/2006/relationships/revisionLog" Target="NULL"/><Relationship Id="rId30" Type="http://schemas.openxmlformats.org/officeDocument/2006/relationships/revisionLog" Target="revisionLog1.xml"/><Relationship Id="rId35" Type="http://schemas.openxmlformats.org/officeDocument/2006/relationships/revisionLog" Target="revisionLog6.xml"/><Relationship Id="rId43" Type="http://schemas.openxmlformats.org/officeDocument/2006/relationships/revisionLog" Target="revisionLog14.xml"/><Relationship Id="rId48" Type="http://schemas.openxmlformats.org/officeDocument/2006/relationships/revisionLog" Target="revisionLog19.xml"/><Relationship Id="rId8" Type="http://schemas.openxmlformats.org/officeDocument/2006/relationships/revisionLog" Target="NUL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6F02852-8CFA-4447-B7ED-40B76ADC92E8}" diskRevisions="1" revisionId="662" version="18">
  <header guid="{70E37B9E-9351-4C46-948F-87D663140C05}" dateTime="2021-04-12T09:05:43" maxSheetId="22" userName="Dziadczyk Marzena" r:id="rId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BAA561E-78BF-4989-ADE7-BA1DE83CCB9A}" dateTime="2021-04-12T09:10:08" maxSheetId="22" userName="Kosowska Bożena" r:id="rId2" minRId="1" maxRId="1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234462D-7592-47DD-98AC-4034FB37A1A3}" dateTime="2021-04-12T09:10:35" maxSheetId="22" userName="Kosowska Bożena" r:id="rId3" minRId="1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AE804DF-9EF0-4E63-97D0-A539D0DFDA77}" dateTime="2021-04-12T09:11:56" maxSheetId="22" userName="Dziadczyk Marzena" r:id="rId4" minRId="22" maxRId="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3376FF6-465C-40AF-AC10-A3F87AB0A9FC}" dateTime="2021-04-12T09:16:02" maxSheetId="22" userName="Kosowska Bożena" r:id="rId5" minRId="33" maxRId="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71F98FF-2CE0-4200-910B-88B886EB3962}" dateTime="2021-04-12T09:16:25" maxSheetId="22" userName="Kosowska Bożena" r:id="rId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C32ACBE-1DC5-4F15-8CE0-EC29599E7B32}" dateTime="2021-04-12T09:39:33" maxSheetId="22" userName="Kosowska Bożena" r:id="rId7" minRId="50" maxRId="81">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8DDA1585-8836-45D5-A34D-CB5CA469892B}" dateTime="2021-04-12T09:56:42" maxSheetId="22" userName="Kozłowska Agnieszka B" r:id="rId8" minRId="82" maxRId="91">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F61DC998-F7C6-4995-AD6A-7BEC2FC113A0}" dateTime="2021-04-12T09:58:52" maxSheetId="22" userName="Kozłowska Agnieszka B" r:id="rId9" minRId="92" maxRId="100">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CEB70366-64BB-4D86-BD7A-8EF38D3F8092}" dateTime="2021-04-12T10:20:29" maxSheetId="22" userName="Kozłowska Agnieszka B" r:id="rId10" minRId="101" maxRId="112">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4C32E6C7-0C04-4133-9966-86AE9EAA5D66}" dateTime="2021-04-12T13:33:44" maxSheetId="22" userName="Stadler Dorota" r:id="rId11">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02C00036-0CBF-4AC0-B2F7-F3664B644F0A}" dateTime="2021-04-12T13:51:45" maxSheetId="22" userName="Chudyma Marta" r:id="rId12" minRId="120" maxRId="124">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BC08776D-BBB6-47FE-8AFE-85B32F134626}" dateTime="2021-04-12T15:36:10" maxSheetId="22" userName="Dziadczyk Marzena" r:id="rId13" minRId="128" maxRId="133">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F3556B34-7222-46C6-914E-7269996880AB}" dateTime="2021-04-12T15:47:32" maxSheetId="22" userName="Dziadczyk Marzena" r:id="rId14" minRId="141">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2E00522D-5FBB-4884-B570-45EA4E7BE181}" dateTime="2021-04-12T15:54:42" maxSheetId="22" userName="Dziadczyk Marzena" r:id="rId15" minRId="149">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7BFE8EF6-8E04-40D6-89DA-B64F058A1319}" dateTime="2021-04-13T09:42:59" maxSheetId="22" userName="Kozłowska Agnieszka B" r:id="rId16" minRId="157" maxRId="159">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A2B0B32F-C296-4064-9FAF-B6B7E30812B1}" dateTime="2021-04-13T10:33:46" maxSheetId="22" userName="Dziadczyk Marzena" r:id="rId17" minRId="163" maxRId="182">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6E509FBD-C0B0-4FD4-9D2C-7E6C1834D685}" dateTime="2021-04-15T13:02:18" maxSheetId="22" userName="Dziadczyk Marzena" r:id="rId18" minRId="190" maxRId="227">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8BE5AC8C-BA72-4011-82A8-6845C3E4AB16}" dateTime="2021-04-15T13:32:24" maxSheetId="22" userName="Kozłowska Agnieszka B" r:id="rId19" minRId="235" maxRId="237">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875878B7-059C-48D9-AA92-4D8F3CA534EC}" dateTime="2021-04-15T13:33:13" maxSheetId="22" userName="Kozłowska Agnieszka B" r:id="rId20">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499CFDAB-9D15-4AB0-84CC-F99BADF556DC}" dateTime="2021-04-15T19:23:37" maxSheetId="22" userName="Chudyma Marta" r:id="rId21" minRId="246" maxRId="277">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67F1EA1A-864B-4054-9ADD-B294F7D18B1E}" dateTime="2021-04-16T09:25:26" maxSheetId="22" userName="Kozłowska Agnieszka B" r:id="rId22" minRId="281" maxRId="285">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FA1D1DDC-B284-48C2-B668-DFA472D6B052}" dateTime="2021-04-16T13:00:50" maxSheetId="22" userName="Kozłowska Agnieszka B" r:id="rId23" minRId="289" maxRId="290">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E91D9DF0-A578-463F-B56C-7A8BDA5A9D99}" dateTime="2021-04-22T07:32:43" maxSheetId="22" userName="Stadler Dorota" r:id="rId24" minRId="291">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AF9FEE5B-F382-437F-8BDB-D98A9ABF15F6}" dateTime="2021-04-22T07:36:12" maxSheetId="22" userName="Stadler Dorota" r:id="rId25" minRId="299" maxRId="300">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E12FA924-B363-4216-92BE-AC2AACB8DB47}" dateTime="2021-04-22T08:03:46" maxSheetId="22" userName="Dziadczyk Marzena" r:id="rId26" minRId="308">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19A0A944-80F1-4299-BBB8-99AF4704F018}" dateTime="2021-04-22T08:07:12" maxSheetId="22" userName="Dziadczyk Marzena" r:id="rId27" minRId="316">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3D8A3AA6-183B-43B1-BBD0-28B47D8C9EF8}" dateTime="2021-04-22T08:23:03" maxSheetId="22" userName="Stadler Dorota" r:id="rId28">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55CC6AF9-72BC-490F-8E17-6190454F0EEF}" dateTime="2021-04-22T09:08:51" maxSheetId="22" userName="Dowżycka Agnieszka" r:id="rId29">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4FA7617D-CB0A-4374-B624-461AFE9848FD}" dateTime="2021-04-24T14:28:42" maxSheetId="22" userName="Dowżycka Agnieszka" r:id="rId30" minRId="331" maxRId="389">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E90927EC-BB67-47C1-A631-355B12B700C9}" dateTime="2021-04-24T14:28:56" maxSheetId="22" userName="Dowżycka Agnieszka" r:id="rId31">
    <sheetIdMap count="21">
      <sheetId val="1"/>
      <sheetId val="2"/>
      <sheetId val="3"/>
      <sheetId val="4"/>
      <sheetId val="5"/>
      <sheetId val="6"/>
      <sheetId val="7"/>
      <sheetId val="8"/>
      <sheetId val="9"/>
      <sheetId val="10"/>
      <sheetId val="15"/>
      <sheetId val="14"/>
      <sheetId val="11"/>
      <sheetId val="12"/>
      <sheetId val="13"/>
      <sheetId val="16"/>
      <sheetId val="17"/>
      <sheetId val="18"/>
      <sheetId val="19"/>
      <sheetId val="20"/>
      <sheetId val="21"/>
    </sheetIdMap>
  </header>
  <header guid="{DCCF9FFB-393B-460F-A153-0450694D1F64}" dateTime="2021-04-24T14:31:36" maxSheetId="22" userName="Dowżycka Agnieszka" r:id="rId32" minRId="404" maxRId="487">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84D27734-2FF5-4C39-B9CD-5207DDFFFC79}" dateTime="2021-04-26T00:27:43" maxSheetId="22" userName="Słaba Dorota" r:id="rId33">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62D0F028-3388-4C8F-A13D-DF534DF5FCF4}" dateTime="2021-04-26T00:41:32" maxSheetId="22" userName="Słaba Dorota" r:id="rId34" minRId="496" maxRId="552">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ACB64D37-A036-45D3-BF99-7FF6535AD84C}" dateTime="2021-04-26T00:44:21" maxSheetId="22" userName="Słaba Dorota" r:id="rId35" minRId="555" maxRId="570">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B9F92C93-E781-4161-9726-F0F0A9CE078D}" dateTime="2021-04-26T00:44:51" maxSheetId="22" userName="Słaba Dorota" r:id="rId36" minRId="571">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701A33A1-7CDC-4033-9926-D11DE53F1A58}" dateTime="2021-04-26T02:34:07" maxSheetId="22" userName="Słaba Dorota" r:id="rId37" minRId="572" maxRId="574">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5FB82F09-FFE9-45EB-80D0-853C843A9657}" dateTime="2021-04-26T09:03:48" maxSheetId="22" userName="Słaba Dorota" r:id="rId38" minRId="575" maxRId="576">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324A825E-0A36-4501-AF36-B18AC4D43519}" dateTime="2021-04-27T16:14:10" maxSheetId="22" userName="Dowżycka Agnieszka" r:id="rId39">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03DF728B-4F3E-431F-8C07-75FDCF5B3AC2}" dateTime="2021-04-27T16:14:30" maxSheetId="22" userName="Dowżycka Agnieszka" r:id="rId40">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749123F5-4B6E-49AB-AA71-8D41D20090B4}" dateTime="2021-04-27T16:14:58" maxSheetId="22" userName="Dowżycka Agnieszka" r:id="rId41" minRId="591" maxRId="593">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8D8F0ED4-17A7-4D5A-8DF9-06F203D54874}" dateTime="2021-04-27T16:15:18" maxSheetId="22" userName="Dowżycka Agnieszka" r:id="rId42">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542CDC74-7B32-41EC-AD29-A7BB04AFFFCC}" dateTime="2021-04-27T16:15:33" maxSheetId="22" userName="Dowżycka Agnieszka" r:id="rId43">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1C307230-2F17-47C9-A0EC-B9B618CDA095}" dateTime="2021-04-27T16:16:04" maxSheetId="22" userName="Dowżycka Agnieszka" r:id="rId44">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F82589BF-EE08-4A8F-88B4-010522F2D39B}" dateTime="2021-04-27T16:17:06" maxSheetId="22" userName="Dowżycka Agnieszka" r:id="rId45">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76A1AD90-B2B5-44AA-B04C-F43B9B406500}" dateTime="2021-04-27T16:18:30" maxSheetId="22" userName="Dowżycka Agnieszka" r:id="rId46" minRId="620" maxRId="622">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69703B1F-1875-4D88-B72F-B1B3E86E877A}" dateTime="2021-04-27T16:19:07" maxSheetId="22" userName="Dowżycka Agnieszka" r:id="rId47">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6C051B2C-2372-4A15-ADAC-8E76A169AF36}" dateTime="2021-04-27T16:27:46" maxSheetId="22" userName="Dowżycka Agnieszka" r:id="rId48" minRId="629" maxRId="658">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 guid="{F6F02852-8CFA-4447-B7ED-40B76ADC92E8}" dateTime="2021-04-28T07:38:10" maxSheetId="22" userName="Dowżycka Agnieszka" r:id="rId49">
    <sheetIdMap count="21">
      <sheetId val="1"/>
      <sheetId val="2"/>
      <sheetId val="3"/>
      <sheetId val="4"/>
      <sheetId val="5"/>
      <sheetId val="6"/>
      <sheetId val="7"/>
      <sheetId val="8"/>
      <sheetId val="9"/>
      <sheetId val="10"/>
      <sheetId val="15"/>
      <sheetId val="14"/>
      <sheetId val="11"/>
      <sheetId val="12"/>
      <sheetId val="13"/>
      <sheetId val="16"/>
      <sheetId val="17"/>
      <sheetId val="18"/>
      <sheetId val="20"/>
      <sheetId val="19"/>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1" sId="1" numFmtId="34">
    <oc r="Q2">
      <f>Q3+Q4+Q5</f>
    </oc>
    <nc r="Q2">
      <v>1548842</v>
    </nc>
  </rcc>
  <rcc rId="332" sId="1" numFmtId="34">
    <oc r="R2">
      <f>R3+R4+R5</f>
    </oc>
    <nc r="R2">
      <v>1539580</v>
    </nc>
  </rcc>
  <rcc rId="333" sId="1" numFmtId="34">
    <oc r="R3">
      <f>1320165-8599</f>
    </oc>
    <nc r="R3">
      <v>1311566</v>
    </nc>
  </rcc>
  <rcc rId="334" sId="1" numFmtId="34">
    <oc r="R5">
      <f>1667+8599</f>
    </oc>
    <nc r="R5">
      <v>10266</v>
    </nc>
  </rcc>
  <rcc rId="335" sId="1" numFmtId="34">
    <oc r="C7">
      <f>C2+C6</f>
    </oc>
    <nc r="C7">
      <v>1253996</v>
    </nc>
  </rcc>
  <rcc rId="336" sId="1" numFmtId="34">
    <oc r="D7">
      <f>D2+D6</f>
    </oc>
    <nc r="D7">
      <v>1302487</v>
    </nc>
  </rcc>
  <rcc rId="337" sId="1" numFmtId="34">
    <oc r="E7">
      <f>E2+E6</f>
    </oc>
    <nc r="E7">
      <v>1340966</v>
    </nc>
  </rcc>
  <rcc rId="338" sId="1" numFmtId="34">
    <oc r="F7">
      <f>F2+F6</f>
    </oc>
    <nc r="F7">
      <v>1379448</v>
    </nc>
  </rcc>
  <rcc rId="339" sId="1" numFmtId="34">
    <oc r="Q7">
      <f>Q2+Q6</f>
    </oc>
    <nc r="Q7">
      <v>1382682</v>
    </nc>
  </rcc>
  <rcc rId="340" sId="1" numFmtId="34">
    <oc r="R7">
      <f>R2+R6</f>
    </oc>
    <nc r="R7">
      <v>1410719</v>
    </nc>
  </rcc>
  <rcc rId="341" sId="1" numFmtId="34">
    <oc r="S7">
      <f>S2+S6</f>
    </oc>
    <nc r="S7">
      <v>1376958</v>
    </nc>
  </rcc>
  <rcc rId="342" sId="1" numFmtId="34">
    <oc r="C10">
      <f>C8+C9</f>
    </oc>
    <nc r="C10">
      <v>475193</v>
    </nc>
  </rcc>
  <rcc rId="343" sId="1" numFmtId="34">
    <oc r="D10">
      <f>D8+D9</f>
    </oc>
    <nc r="D10">
      <v>495642</v>
    </nc>
  </rcc>
  <rcc rId="344" sId="1" numFmtId="34">
    <oc r="E10">
      <f>E8+E9</f>
    </oc>
    <nc r="E10">
      <v>526905</v>
    </nc>
  </rcc>
  <rcc rId="345" sId="1" numFmtId="34">
    <oc r="Q10">
      <f>Q8+Q9</f>
    </oc>
    <nc r="Q10">
      <v>552730</v>
    </nc>
  </rcc>
  <rcc rId="346" sId="1" numFmtId="34">
    <oc r="R10">
      <f>R8+R9</f>
    </oc>
    <nc r="R10">
      <v>569301</v>
    </nc>
  </rcc>
  <rcc rId="347" sId="1" numFmtId="34">
    <oc r="S10">
      <f>S8+S9</f>
    </oc>
    <nc r="S10">
      <v>611274</v>
    </nc>
  </rcc>
  <rcc rId="348" sId="1" numFmtId="34">
    <oc r="N15">
      <f>79259-9427</f>
    </oc>
    <nc r="N15">
      <v>69832</v>
    </nc>
  </rcc>
  <rcc rId="349" sId="1" numFmtId="34">
    <oc r="C18">
      <f>SUM(C19:C22)</f>
    </oc>
    <nc r="C18">
      <v>-865972</v>
    </nc>
  </rcc>
  <rcc rId="350" sId="1" numFmtId="34">
    <oc r="D18">
      <f>SUM(D19:D22)</f>
    </oc>
    <nc r="D18">
      <v>-828582</v>
    </nc>
  </rcc>
  <rcc rId="351" sId="1" numFmtId="34">
    <oc r="N18">
      <f>N19+N20+N21+N22</f>
    </oc>
    <nc r="N18">
      <v>-1231429</v>
    </nc>
  </rcc>
  <rcc rId="352" sId="1" numFmtId="34">
    <oc r="Q18">
      <f>Q19+Q20+Q21+Q22</f>
    </oc>
    <nc r="Q18">
      <v>-929893</v>
    </nc>
  </rcc>
  <rcc rId="353" sId="1" numFmtId="34">
    <oc r="R18">
      <f>R19+R20+R21+R22</f>
    </oc>
    <nc r="R18">
      <v>-1328984</v>
    </nc>
  </rcc>
  <rcc rId="354" sId="1" numFmtId="34">
    <oc r="S18">
      <f>S19+S20+S21+S22</f>
    </oc>
    <nc r="S18">
      <v>-1266609</v>
    </nc>
  </rcc>
  <rcc rId="355" sId="1" numFmtId="34">
    <oc r="N22">
      <f>-303639</f>
    </oc>
    <nc r="N22">
      <v>-303639</v>
    </nc>
  </rcc>
  <rcc rId="356" sId="1" numFmtId="34">
    <oc r="C25">
      <f>SUM(C7+C10+C11+C12+C13+C15+C17+C18+C14+C16,C23,C24)</f>
    </oc>
    <nc r="C25">
      <v>739445</v>
    </nc>
  </rcc>
  <rcc rId="357" sId="1" numFmtId="34">
    <oc r="D25">
      <f>SUM(D7+D10+D11+D12+D13+D15+D17+D18+D14+D16,D23,D24)</f>
    </oc>
    <nc r="D25">
      <v>930799</v>
    </nc>
  </rcc>
  <rcc rId="358" sId="1" numFmtId="34">
    <oc r="E25">
      <f>SUM(E7+E10+E11+E12+E13+E15+E17+E18+E14+E16,E23,E24)</f>
    </oc>
    <nc r="E25">
      <v>817797</v>
    </nc>
  </rcc>
  <rcc rId="359" sId="1" numFmtId="34">
    <oc r="F25">
      <f>SUM(F7+F10+F11+F12+F13+F15+F17+F18+F14+F16,F23,F24)</f>
    </oc>
    <nc r="F25">
      <v>833439</v>
    </nc>
  </rcc>
  <rcc rId="360" sId="1" numFmtId="34">
    <oc r="L25">
      <f>L7+L10+L11+L12+L13+L15+L17+L18+L23+L24</f>
    </oc>
    <nc r="L25">
      <v>876914</v>
    </nc>
  </rcc>
  <rcc rId="361" sId="1" numFmtId="34">
    <oc r="M25">
      <f>M7+M10+M11+M12+M13+M15+M17+M18+M23+M24</f>
    </oc>
    <nc r="M25">
      <v>1006936</v>
    </nc>
  </rcc>
  <rcc rId="362" sId="1" numFmtId="34">
    <oc r="N25">
      <f>N7+N10+N11+N12+N13+N15+N17+N18+N23+N24</f>
    </oc>
    <nc r="N25">
      <v>756556</v>
    </nc>
  </rcc>
  <rcc rId="363" sId="1" numFmtId="34">
    <oc r="O25">
      <f>O7+O10+O11+O12+O13+O15+O17+O18+O23+O24</f>
    </oc>
    <nc r="O25">
      <v>384954</v>
    </nc>
  </rcc>
  <rcc rId="364" sId="1" numFmtId="34">
    <oc r="P25">
      <f>P7+P10+P11+P12+P13+P15+P17+P18+P23+P24</f>
    </oc>
    <nc r="P25">
      <v>504920</v>
    </nc>
  </rcc>
  <rcc rId="365" sId="1" numFmtId="34">
    <oc r="Q25">
      <f>Q7+Q10+Q11+Q12+Q13+Q15+Q17+Q18+Q23+Q24</f>
    </oc>
    <nc r="Q25">
      <v>729427</v>
    </nc>
  </rcc>
  <rcc rId="366" sId="1" numFmtId="34">
    <oc r="R25">
      <f>R7+R10+R11+R12+R13+R15+R17+R18+R23+R24</f>
    </oc>
    <nc r="R25">
      <v>261596</v>
    </nc>
  </rcc>
  <rcc rId="367" sId="1" numFmtId="34">
    <oc r="S25">
      <f>S7+S10+S11+S12+S13+S15+S17+S18+S23+S24</f>
    </oc>
    <nc r="S25">
      <v>361526</v>
    </nc>
  </rcc>
  <rcc rId="368" sId="1" numFmtId="34">
    <oc r="C27">
      <f>C25+C26</f>
    </oc>
    <nc r="C27">
      <v>526633</v>
    </nc>
  </rcc>
  <rcc rId="369" sId="1" numFmtId="34">
    <oc r="D27">
      <f>D25+D26</f>
    </oc>
    <nc r="D27">
      <v>731062</v>
    </nc>
  </rcc>
  <rcc rId="370" sId="1" numFmtId="34">
    <oc r="E27">
      <f>E25+E26</f>
    </oc>
    <nc r="E27">
      <v>629187</v>
    </nc>
  </rcc>
  <rcc rId="371" sId="1" numFmtId="34">
    <oc r="F27">
      <f>F25+F26</f>
    </oc>
    <nc r="F27">
      <v>617891</v>
    </nc>
  </rcc>
  <rcc rId="372" sId="1" numFmtId="34">
    <oc r="Q27">
      <f>Q25+Q26</f>
    </oc>
    <nc r="Q27">
      <v>539968</v>
    </nc>
  </rcc>
  <rcc rId="373" sId="1" numFmtId="34">
    <oc r="R27">
      <f>R25+R26</f>
    </oc>
    <nc r="R27">
      <v>117188</v>
    </nc>
  </rcc>
  <rcc rId="374" sId="1" numFmtId="34">
    <oc r="S27">
      <f>S25+S26</f>
    </oc>
    <nc r="S27">
      <v>192858</v>
    </nc>
  </rcc>
  <rcc rId="375" sId="1" numFmtId="34">
    <oc r="C29">
      <f>C27-C30</f>
    </oc>
    <nc r="C29">
      <v>452461</v>
    </nc>
  </rcc>
  <rcc rId="376" sId="1" numFmtId="34">
    <oc r="D29">
      <f>D27-D30</f>
    </oc>
    <nc r="D29">
      <v>647914</v>
    </nc>
  </rcc>
  <rcc rId="377" sId="1" numFmtId="34">
    <oc r="E29">
      <f>E27-E30</f>
    </oc>
    <nc r="E29">
      <v>556427</v>
    </nc>
  </rcc>
  <rcc rId="378" sId="1" numFmtId="34">
    <oc r="F29">
      <f>F27-F30</f>
    </oc>
    <nc r="F29">
      <v>542511</v>
    </nc>
  </rcc>
  <rcc rId="379" sId="1" numFmtId="34">
    <oc r="R29">
      <f>R27-R30</f>
    </oc>
    <nc r="R29">
      <v>81546</v>
    </nc>
  </rcc>
  <rcc rId="380" sId="1" numFmtId="34">
    <oc r="S29">
      <f>S27-S30</f>
    </oc>
    <nc r="S29">
      <v>151753</v>
    </nc>
  </rcc>
  <rcc rId="381" sId="1" odxf="1" dxf="1">
    <oc r="K32">
      <v>604190</v>
    </oc>
    <nc r="K32"/>
    <ndxf>
      <font>
        <sz val="9"/>
        <color theme="0"/>
        <name val="Open Sans"/>
        <scheme val="none"/>
      </font>
      <numFmt numFmtId="0" formatCode="General"/>
    </ndxf>
  </rcc>
  <rcc rId="382" sId="1" odxf="1" dxf="1">
    <oc r="L32">
      <v>876914</v>
    </oc>
    <nc r="L32"/>
    <ndxf>
      <font>
        <sz val="9"/>
        <color theme="0"/>
        <name val="Open Sans"/>
        <scheme val="none"/>
      </font>
      <numFmt numFmtId="0" formatCode="General"/>
    </ndxf>
  </rcc>
  <rcc rId="383" sId="1" odxf="1" dxf="1" numFmtId="34">
    <oc r="M32">
      <v>1006936</v>
    </oc>
    <nc r="M32"/>
    <ndxf>
      <font>
        <sz val="9"/>
        <color auto="1"/>
        <name val="Open Sans"/>
        <scheme val="none"/>
      </font>
      <numFmt numFmtId="165" formatCode="_(* #\ ###\ ##0_);_(* \(#\ ###\ ##0\);_(* &quot;-&quot;_);_(@_)"/>
    </ndxf>
  </rcc>
  <rcc rId="384" sId="1" odxf="1" dxf="1">
    <oc r="N32">
      <v>756556</v>
    </oc>
    <nc r="N32"/>
    <ndxf>
      <font>
        <sz val="9"/>
        <color theme="0"/>
        <name val="Open Sans"/>
        <scheme val="none"/>
      </font>
      <numFmt numFmtId="0" formatCode="General"/>
    </ndxf>
  </rcc>
  <rcc rId="385" sId="1" odxf="1" dxf="1">
    <oc r="O32">
      <v>384954</v>
    </oc>
    <nc r="O32"/>
    <ndxf>
      <font>
        <sz val="9"/>
        <color theme="0"/>
        <name val="Open Sans"/>
        <scheme val="none"/>
      </font>
      <numFmt numFmtId="0" formatCode="General"/>
    </ndxf>
  </rcc>
  <rcc rId="386" sId="1" odxf="1" dxf="1">
    <oc r="P32">
      <v>504920</v>
    </oc>
    <nc r="P32"/>
    <ndxf>
      <font>
        <sz val="9"/>
        <color theme="0"/>
        <name val="Open Sans"/>
        <scheme val="none"/>
      </font>
      <numFmt numFmtId="0" formatCode="General"/>
    </ndxf>
  </rcc>
  <rcc rId="387" sId="1" odxf="1" dxf="1">
    <oc r="Q32">
      <v>729427</v>
    </oc>
    <nc r="Q32"/>
    <ndxf>
      <font>
        <sz val="9"/>
        <color theme="0"/>
        <name val="Open Sans"/>
        <scheme val="none"/>
      </font>
      <numFmt numFmtId="0" formatCode="General"/>
    </ndxf>
  </rcc>
  <rcc rId="388" sId="1" odxf="1" dxf="1">
    <oc r="R32">
      <v>729427</v>
    </oc>
    <nc r="R32"/>
    <ndxf>
      <font>
        <sz val="9"/>
        <color theme="0"/>
        <name val="Open Sans"/>
        <scheme val="none"/>
      </font>
      <numFmt numFmtId="0" formatCode="General"/>
    </ndxf>
  </rcc>
  <rcc rId="389" sId="1" odxf="1" dxf="1">
    <oc r="S32">
      <v>729427</v>
    </oc>
    <nc r="S32"/>
    <ndxf>
      <font>
        <sz val="9"/>
        <color theme="0"/>
        <name val="Open Sans"/>
        <scheme val="none"/>
      </font>
      <numFmt numFmtId="0" formatCode="General"/>
    </ndxf>
  </rcc>
  <rfmt sheetId="1" sqref="K33" start="0" length="0">
    <dxf>
      <font>
        <sz val="9"/>
        <color theme="0"/>
        <name val="Open Sans"/>
        <scheme val="none"/>
      </font>
    </dxf>
  </rfmt>
  <rfmt sheetId="1" sqref="M33" start="0" length="0">
    <dxf>
      <font>
        <sz val="9"/>
        <color auto="1"/>
        <name val="Open Sans"/>
        <scheme val="none"/>
      </font>
      <numFmt numFmtId="165" formatCode="_(* #\ ###\ ##0_);_(* \(#\ ###\ ##0\);_(* &quot;-&quot;_);_(@_)"/>
    </dxf>
  </rfmt>
  <rfmt sheetId="1" sqref="K34" start="0" length="0">
    <dxf>
      <font>
        <sz val="9"/>
        <color theme="0"/>
        <name val="Open Sans"/>
        <scheme val="none"/>
      </font>
      <numFmt numFmtId="0" formatCode="General"/>
    </dxf>
  </rfmt>
  <rfmt sheetId="1" sqref="L34" start="0" length="0">
    <dxf>
      <font>
        <sz val="9"/>
        <color theme="0"/>
        <name val="Open Sans"/>
        <scheme val="none"/>
      </font>
      <numFmt numFmtId="0" formatCode="General"/>
    </dxf>
  </rfmt>
  <rfmt sheetId="1" sqref="M34" start="0" length="0">
    <dxf>
      <font>
        <sz val="9"/>
        <color auto="1"/>
        <name val="Open Sans"/>
        <scheme val="none"/>
      </font>
      <numFmt numFmtId="165" formatCode="_(* #\ ###\ ##0_);_(* \(#\ ###\ ##0\);_(* &quot;-&quot;_);_(@_)"/>
    </dxf>
  </rfmt>
  <rfmt sheetId="1" sqref="N34" start="0" length="0">
    <dxf>
      <font>
        <sz val="9"/>
        <color theme="0"/>
        <name val="Open Sans"/>
        <scheme val="none"/>
      </font>
      <numFmt numFmtId="0" formatCode="General"/>
    </dxf>
  </rfmt>
  <rfmt sheetId="1" sqref="K30:S30">
    <dxf>
      <alignment horizontal="right" readingOrder="0"/>
    </dxf>
  </rfmt>
  <rfmt sheetId="1" sqref="K30:S30">
    <dxf>
      <alignment horizontal="general" indent="0" readingOrder="0"/>
    </dxf>
  </rfmt>
  <rfmt sheetId="1" sqref="K30:S30">
    <dxf>
      <alignment horizontal="right" readingOrder="0"/>
    </dxf>
  </rfmt>
  <rfmt sheetId="1" sqref="K30:S30">
    <dxf>
      <numFmt numFmtId="170" formatCode="#,##0_ ;\-#,##0\ "/>
    </dxf>
  </rfmt>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2" customView="1" name="Z_2A0EA35A_7F53_4AD8_895C_C234D094A4A4_.wvu.Cols" hidden="1" oldHidden="1">
    <formula>BS!$D:$O</formula>
    <oldFormula>BS!$D:$O</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dn rId="0" localSheetId="13" customView="1" name="Z_2A0EA35A_7F53_4AD8_895C_C234D094A4A4_.wvu.Cols" hidden="1" oldHidden="1">
    <formula>'Aktywa i zobow. fin. do obrotu'!$D:$N,'Aktywa i zobow. fin. do obrotu'!$P:$P</formula>
    <oldFormula>'Aktywa i zobow. fin. do obrotu'!$D:$N,'Aktywa i zobow. fin. do obrotu'!$P:$P</oldFormula>
  </rdn>
  <rcv guid="{2A0EA35A-7F53-4AD8-895C-C234D094A4A4}"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dn rId="0" localSheetId="13" customView="1" name="Z_2A0EA35A_7F53_4AD8_895C_C234D094A4A4_.wvu.Cols" hidden="1" oldHidden="1">
    <formula>'Aktywa i zobow. fin. do obrotu'!$D:$N,'Aktywa i zobow. fin. do obrotu'!$P:$P</formula>
    <oldFormula>'Aktywa i zobow. fin. do obrotu'!$D:$N,'Aktywa i zobow. fin. do obrotu'!$P:$P</oldFormula>
  </rdn>
  <rcv guid="{2A0EA35A-7F53-4AD8-895C-C234D094A4A4}"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dn rId="0" localSheetId="13" customView="1" name="Z_2A0EA35A_7F53_4AD8_895C_C234D094A4A4_.wvu.Cols" hidden="1" oldHidden="1">
    <formula>'Aktywa i zobow. fin. do obrotu'!$D:$N,'Aktywa i zobow. fin. do obrotu'!$P:$P</formula>
    <oldFormula>'Aktywa i zobow. fin. do obrotu'!$D:$N,'Aktywa i zobow. fin. do obrotu'!$P:$P</oldFormula>
  </rdn>
  <rcv guid="{2A0EA35A-7F53-4AD8-895C-C234D094A4A4}"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1" sId="13" odxf="1" dxf="1">
    <oc r="T35">
      <f>T26</f>
    </oc>
    <nc r="T35">
      <f>T26</f>
    </nc>
    <odxf>
      <font>
        <sz val="8"/>
        <color rgb="FFC00000"/>
        <name val="Open Sans"/>
        <scheme val="none"/>
      </font>
    </odxf>
    <ndxf>
      <font>
        <sz val="8"/>
        <color rgb="FFC00000"/>
        <name val="Open Sans"/>
        <scheme val="none"/>
      </font>
    </ndxf>
  </rcc>
  <rcc rId="592" sId="13" odxf="1" dxf="1">
    <oc r="T26">
      <f>T18</f>
    </oc>
    <nc r="T26">
      <f>T18</f>
    </nc>
    <odxf>
      <font>
        <sz val="8"/>
        <color rgb="FFC00000"/>
        <name val="Open Sans"/>
        <scheme val="none"/>
      </font>
    </odxf>
    <ndxf>
      <font>
        <sz val="8"/>
        <color rgb="FFC00000"/>
        <name val="Open Sans"/>
        <scheme val="none"/>
      </font>
    </ndxf>
  </rcc>
  <rcc rId="593" sId="13" odxf="1" dxf="1">
    <oc r="T18">
      <f>T1</f>
    </oc>
    <nc r="T18">
      <f>T1</f>
    </nc>
    <odxf>
      <font>
        <sz val="8"/>
        <color rgb="FFC00000"/>
        <name val="Open Sans"/>
        <scheme val="none"/>
      </font>
    </odxf>
    <ndxf>
      <font>
        <sz val="8"/>
        <color rgb="FFC00000"/>
        <name val="Open Sans"/>
        <scheme val="none"/>
      </font>
    </ndxf>
  </rcc>
  <rdn rId="0" localSheetId="13" customView="1" name="Z_2A0EA35A_7F53_4AD8_895C_C234D094A4A4_.wvu.Cols" hidden="1" oldHidden="1">
    <oldFormula>'Aktywa i zobow. fin. do obrotu'!$D:$N,'Aktywa i zobow. fin. do obrotu'!$P:$P</oldFormula>
  </rdn>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cv guid="{2A0EA35A-7F53-4AD8-895C-C234D094A4A4}"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cv guid="{2A0EA35A-7F53-4AD8-895C-C234D094A4A4}"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cv guid="{2A0EA35A-7F53-4AD8-895C-C234D094A4A4}"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cv guid="{2A0EA35A-7F53-4AD8-895C-C234D094A4A4}"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9" sqref="B3" start="0" length="0">
    <dxf>
      <fill>
        <patternFill patternType="none">
          <bgColor indexed="65"/>
        </patternFill>
      </fill>
      <alignment wrapText="1" readingOrder="0"/>
      <border outline="0">
        <top style="dotted">
          <color rgb="FF6F7779"/>
        </top>
        <bottom style="dotted">
          <color rgb="FF6F7779"/>
        </bottom>
      </border>
    </dxf>
  </rfmt>
  <rdn rId="0" localSheetId="9" customView="1" name="Z_2A0EA35A_7F53_4AD8_895C_C234D094A4A4_.wvu.Cols" hidden="1" oldHidden="1">
    <oldFormula>'Inwestycyjne aktywa finansowe'!$C:$O</oldFormula>
  </rdn>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cv guid="{2A0EA35A-7F53-4AD8-895C-C234D094A4A4}"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620" sheetId="6" source="A1:A10" destination="B13:B22" sourceSheetId="6">
    <rfmt sheetId="6" sqref="B13" start="0" length="0">
      <dxf>
        <alignment vertical="top" wrapText="1" readingOrder="0"/>
      </dxf>
    </rfmt>
    <rfmt sheetId="6" sqref="B14" start="0" length="0">
      <dxf>
        <alignment vertical="top" wrapText="1" readingOrder="0"/>
      </dxf>
    </rfmt>
    <rfmt sheetId="6" sqref="B15" start="0" length="0">
      <dxf>
        <alignment vertical="top" wrapText="1" readingOrder="0"/>
      </dxf>
    </rfmt>
    <rfmt sheetId="6" sqref="B16" start="0" length="0">
      <dxf>
        <alignment vertical="top" wrapText="1" readingOrder="0"/>
      </dxf>
    </rfmt>
    <rfmt sheetId="6" sqref="B17" start="0" length="0">
      <dxf>
        <alignment vertical="top" wrapText="1" readingOrder="0"/>
      </dxf>
    </rfmt>
    <rfmt sheetId="6" sqref="B18" start="0" length="0">
      <dxf>
        <alignment vertical="top" wrapText="1" readingOrder="0"/>
      </dxf>
    </rfmt>
    <rfmt sheetId="6" sqref="B19" start="0" length="0">
      <dxf>
        <alignment vertical="top" wrapText="1" readingOrder="0"/>
      </dxf>
    </rfmt>
    <rfmt sheetId="6" sqref="B20" start="0" length="0">
      <dxf>
        <alignment vertical="top" wrapText="1" readingOrder="0"/>
      </dxf>
    </rfmt>
    <rfmt sheetId="6" sqref="B21" start="0" length="0">
      <dxf>
        <alignment vertical="top" wrapText="1" readingOrder="0"/>
      </dxf>
    </rfmt>
    <rfmt sheetId="6" sqref="B22" start="0" length="0">
      <dxf>
        <alignment vertical="top" wrapText="1" readingOrder="0"/>
      </dxf>
    </rfmt>
  </rm>
  <rm rId="621" sheetId="6" source="B1:B10" destination="A1:A10" sourceSheetId="6">
    <rfmt sheetId="6" sqref="A1" start="0" length="0">
      <dxf>
        <alignment vertical="top" wrapText="1" readingOrder="0"/>
      </dxf>
    </rfmt>
    <rfmt sheetId="6" sqref="A2" start="0" length="0">
      <dxf>
        <alignment vertical="top" wrapText="1" readingOrder="0"/>
      </dxf>
    </rfmt>
    <rfmt sheetId="6" sqref="A3" start="0" length="0">
      <dxf>
        <alignment vertical="top" wrapText="1" readingOrder="0"/>
      </dxf>
    </rfmt>
    <rfmt sheetId="6" sqref="A4" start="0" length="0">
      <dxf>
        <alignment vertical="top" wrapText="1" readingOrder="0"/>
      </dxf>
    </rfmt>
    <rfmt sheetId="6" sqref="A5" start="0" length="0">
      <dxf>
        <alignment vertical="top" wrapText="1" readingOrder="0"/>
      </dxf>
    </rfmt>
    <rfmt sheetId="6" sqref="A6" start="0" length="0">
      <dxf>
        <alignment vertical="top" wrapText="1" readingOrder="0"/>
      </dxf>
    </rfmt>
    <rfmt sheetId="6" sqref="A7" start="0" length="0">
      <dxf>
        <alignment vertical="top" wrapText="1" readingOrder="0"/>
      </dxf>
    </rfmt>
    <rfmt sheetId="6" sqref="A8" start="0" length="0">
      <dxf>
        <alignment vertical="top" wrapText="1" readingOrder="0"/>
      </dxf>
    </rfmt>
    <rfmt sheetId="6" sqref="A9" start="0" length="0">
      <dxf>
        <alignment vertical="top" wrapText="1" readingOrder="0"/>
      </dxf>
    </rfmt>
    <rfmt sheetId="6" sqref="A10" start="0" length="0">
      <dxf>
        <font>
          <sz val="10"/>
          <color theme="1"/>
          <name val="Open Sans"/>
          <scheme val="none"/>
        </font>
      </dxf>
    </rfmt>
  </rm>
  <rm rId="622" sheetId="6" source="B14:B22" destination="B2:B10" sourceSheetId="6">
    <rfmt sheetId="6" sqref="B2" start="0" length="0">
      <dxf>
        <alignment vertical="top" wrapText="1" readingOrder="0"/>
      </dxf>
    </rfmt>
    <rfmt sheetId="6" sqref="B3" start="0" length="0">
      <dxf>
        <alignment vertical="top" wrapText="1" readingOrder="0"/>
      </dxf>
    </rfmt>
    <rfmt sheetId="6" sqref="B4" start="0" length="0">
      <dxf>
        <alignment vertical="top" wrapText="1" readingOrder="0"/>
      </dxf>
    </rfmt>
    <rfmt sheetId="6" sqref="B5" start="0" length="0">
      <dxf>
        <alignment vertical="top" wrapText="1" readingOrder="0"/>
      </dxf>
    </rfmt>
    <rfmt sheetId="6" sqref="B6" start="0" length="0">
      <dxf>
        <alignment vertical="top" wrapText="1" readingOrder="0"/>
      </dxf>
    </rfmt>
    <rfmt sheetId="6" sqref="B7" start="0" length="0">
      <dxf>
        <alignment vertical="top" wrapText="1" readingOrder="0"/>
      </dxf>
    </rfmt>
    <rfmt sheetId="6" sqref="B8" start="0" length="0">
      <dxf>
        <alignment vertical="top" wrapText="1" readingOrder="0"/>
      </dxf>
    </rfmt>
    <rfmt sheetId="6" sqref="B9" start="0" length="0">
      <dxf>
        <alignment vertical="top" wrapText="1" readingOrder="0"/>
      </dxf>
    </rfmt>
    <rfmt sheetId="6" sqref="B10" start="0" length="0">
      <dxf>
        <font>
          <sz val="10"/>
          <color theme="1"/>
          <name val="Open Sans"/>
          <scheme val="none"/>
        </font>
      </dxf>
    </rfmt>
  </rm>
  <rdn rId="0" localSheetId="6" customView="1" name="Z_2A0EA35A_7F53_4AD8_895C_C234D094A4A4_.wvu.Cols" hidden="1" oldHidden="1">
    <oldFormula>'Wynik handlowy'!$C:$F</oldFormula>
  </rdn>
  <rdn rId="0" localSheetId="7" customView="1" name="Z_2A0EA35A_7F53_4AD8_895C_C234D094A4A4_.wvu.Cols" hidden="1" oldHidden="1">
    <oldFormula>'Wynik inwestycyjny'!$C:$N</oldFormula>
  </rdn>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cv guid="{2A0EA35A-7F53-4AD8-895C-C234D094A4A4}"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cv guid="{2A0EA35A-7F53-4AD8-895C-C234D094A4A4}"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9" sId="20">
    <oc r="S16">
      <f>S3</f>
    </oc>
    <nc r="S16">
      <f>S3</f>
    </nc>
  </rcc>
  <rfmt sheetId="20" sqref="B19" start="0" length="0">
    <dxf>
      <alignment horizontal="general" vertical="top" readingOrder="0"/>
    </dxf>
  </rfmt>
  <rfmt sheetId="20" sqref="C19" start="0" length="0">
    <dxf>
      <alignment horizontal="general" vertical="top" readingOrder="0"/>
    </dxf>
  </rfmt>
  <rcc rId="630" sId="20" odxf="1" dxf="1">
    <oc r="D19" t="inlineStr">
      <is>
        <t>Registered customers of internet and mobile banking services of Santander Bank Polska S.A. Starting from Q3 2020, the stated data include customers of Santander Consumer Bank S.A. who signed an electronic banking services agreements.</t>
      </is>
    </oc>
    <nc r="D19" t="inlineStr">
      <is>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is>
    </nc>
    <odxf>
      <alignment horizontal="left" vertical="center" readingOrder="0"/>
    </odxf>
    <ndxf>
      <alignment horizontal="general" vertical="top" readingOrder="0"/>
    </ndxf>
  </rcc>
  <rfmt sheetId="20" sqref="B20" start="0" length="0">
    <dxf>
      <alignment horizontal="general" vertical="top" readingOrder="0"/>
    </dxf>
  </rfmt>
  <rcc rId="631" sId="20" odxf="1" dxf="1">
    <oc r="C20" t="inlineStr">
      <is>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prezentowane dane uwzględniają klientów Santander Consumer Bank S.A. spełniajcych ww. kryteria.  </t>
      </is>
    </oc>
    <nc r="C20" t="inlineStr">
      <is>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is>
    </nc>
    <odxf>
      <alignment horizontal="left" vertical="center" readingOrder="0"/>
    </odxf>
    <ndxf>
      <alignment horizontal="general" vertical="top" readingOrder="0"/>
    </ndxf>
  </rcc>
  <rfmt sheetId="20" sqref="D20" start="0" length="0">
    <dxf>
      <alignment horizontal="general" vertical="top" readingOrder="0"/>
    </dxf>
  </rfmt>
  <rfmt sheetId="20" sqref="B21" start="0" length="0">
    <dxf>
      <alignment horizontal="general" vertical="top" readingOrder="0"/>
    </dxf>
  </rfmt>
  <rfmt sheetId="20" sqref="C21" start="0" length="0">
    <dxf>
      <alignment horizontal="general" vertical="top" readingOrder="0"/>
    </dxf>
  </rfmt>
  <rcc rId="632" sId="20" odxf="1" dxf="1">
    <oc r="D21" t="inlineStr">
      <is>
        <t xml:space="preserve">Small acquisition units are reported separately, starting from end-2019 </t>
      </is>
    </oc>
    <nc r="D21" t="inlineStr">
      <is>
        <t xml:space="preserve">Small acquisition units are reported separately, starting from end-2019. </t>
      </is>
    </nc>
    <odxf>
      <alignment horizontal="left" vertical="center" readingOrder="0"/>
    </odxf>
    <ndxf>
      <alignment horizontal="general" vertical="top" readingOrder="0"/>
    </ndxf>
  </rcc>
  <rfmt sheetId="20" sqref="B22" start="0" length="0">
    <dxf>
      <alignment horizontal="general" vertical="top" readingOrder="0"/>
    </dxf>
  </rfmt>
  <rcc rId="633" sId="20" odxf="1" dxf="1">
    <oc r="C22" t="inlineStr">
      <is>
        <t xml:space="preserve">Zatrudnienie w Grupie Santander Bank Polska S.A. zostało skorygowane wstecznie o etaty w Santander Consumer Bank  niespełniające kryteria klasyfikacji. </t>
      </is>
    </oc>
    <nc r="C22" t="inlineStr">
      <is>
        <t xml:space="preserve">Zatrudnienie w Grupie Santander Bank Polska S.A. zostało skorygowane wstecznie o etaty w Santander Consumer Bank S.A. niespełniające kryteria klasyfikacji. </t>
      </is>
    </nc>
    <odxf>
      <alignment horizontal="left" vertical="center" readingOrder="0"/>
    </odxf>
    <ndxf>
      <alignment horizontal="general" vertical="top" readingOrder="0"/>
    </ndxf>
  </rcc>
  <rcc rId="634" sId="20" odxf="1" dxf="1">
    <oc r="D22" t="inlineStr">
      <is>
        <t>Employment with Santander Bank Polska S.A. Group has been adjusted by posts in Santander Consumer Bank that do not meet the classification criteria.</t>
      </is>
    </oc>
    <nc r="D22" t="inlineStr">
      <is>
        <t>Employment with Santander Bank Polska S.A. Group has been adjusted for posts at Santander Consumer Bank S.A. that do not meet the classification criteria.</t>
      </is>
    </nc>
    <odxf>
      <alignment horizontal="left" vertical="center" readingOrder="0"/>
    </odxf>
    <ndxf>
      <alignment horizontal="general" vertical="top" readingOrder="0"/>
    </ndxf>
  </rcc>
  <rfmt sheetId="20" sqref="B23" start="0" length="0">
    <dxf>
      <alignment horizontal="general" vertical="top" readingOrder="0"/>
    </dxf>
  </rfmt>
  <rfmt sheetId="20" sqref="C23" start="0" length="0">
    <dxf>
      <alignment horizontal="general" vertical="top" readingOrder="0"/>
    </dxf>
  </rfmt>
  <rfmt sheetId="20" sqref="D23" start="0" length="0">
    <dxf>
      <alignment horizontal="general" vertical="top" readingOrder="0"/>
    </dxf>
  </rfmt>
  <rcc rId="635" sId="18" numFmtId="34">
    <oc r="L4">
      <v>129415832.50953101</v>
    </oc>
    <nc r="L4">
      <v>129415833</v>
    </nc>
  </rcc>
  <rcc rId="636" sId="18" numFmtId="34">
    <oc r="L5">
      <v>-635467.57276999997</v>
    </oc>
    <nc r="L5">
      <v>-635468</v>
    </nc>
  </rcc>
  <rcc rId="637" sId="18" numFmtId="34">
    <oc r="L7">
      <v>7616779.9461448202</v>
    </oc>
    <nc r="L7">
      <v>7616780</v>
    </nc>
  </rcc>
  <rcc rId="638" sId="18" numFmtId="34">
    <oc r="L8">
      <v>-691011.08908280404</v>
    </oc>
    <nc r="L8">
      <v>-691011</v>
    </nc>
  </rcc>
  <rcc rId="639" sId="18" numFmtId="34">
    <oc r="L10">
      <v>8049895.5058269901</v>
    </oc>
    <nc r="L10">
      <v>8049896</v>
    </nc>
  </rcc>
  <rcc rId="640" sId="18" numFmtId="34">
    <oc r="L11">
      <v>-4778336.0544685796</v>
    </oc>
    <nc r="L11">
      <v>-4778336</v>
    </nc>
  </rcc>
  <rcc rId="641" sId="18" numFmtId="34">
    <oc r="L13">
      <v>697068.30700192996</v>
    </oc>
    <nc r="L13">
      <v>697068</v>
    </nc>
  </rcc>
  <rcc rId="642" sId="18" numFmtId="34">
    <oc r="L14">
      <v>-223129.14254321001</v>
    </oc>
    <nc r="L14">
      <v>-223129</v>
    </nc>
  </rcc>
  <rcc rId="643" sId="18">
    <oc r="F15">
      <f>F13+F10+F7+F4</f>
    </oc>
    <nc r="F15">
      <f>F13+F10+F7+F4</f>
    </nc>
  </rcc>
  <rcc rId="644" sId="18">
    <oc r="G15">
      <f>G13+G10+G7+G4</f>
    </oc>
    <nc r="G15">
      <f>G13+G10+G7+G4</f>
    </nc>
  </rcc>
  <rcc rId="645" sId="18">
    <oc r="K15">
      <f>K4+K7+K10+K13</f>
    </oc>
    <nc r="K15">
      <f>K4+K7+K10+K13</f>
    </nc>
  </rcc>
  <rcc rId="646" sId="18">
    <oc r="L15">
      <f>L4+L7+L10+L13</f>
    </oc>
    <nc r="L15">
      <f>L4+L7+L10+L13</f>
    </nc>
  </rcc>
  <rcc rId="647" sId="18">
    <oc r="F16">
      <f>F14+F11+F8+F5</f>
    </oc>
    <nc r="F16">
      <f>F14+F11+F8+F5</f>
    </nc>
  </rcc>
  <rcc rId="648" sId="18">
    <oc r="G16">
      <f>G14+G11+G8+G5</f>
    </oc>
    <nc r="G16">
      <f>G14+G11+G8+G5</f>
    </nc>
  </rcc>
  <rcc rId="649" sId="18">
    <oc r="K16">
      <f>K5+K8+K11+K14</f>
    </oc>
    <nc r="K16">
      <f>K5+K8+K11+K14</f>
    </nc>
  </rcc>
  <rcc rId="650" sId="18">
    <oc r="L16">
      <f>L5+L8+L11+L14</f>
    </oc>
    <nc r="L16">
      <f>L5+L8+L11+L14</f>
    </nc>
  </rcc>
  <rcc rId="651" sId="18">
    <oc r="F17">
      <f>SUM(F15:F16)</f>
    </oc>
    <nc r="F17">
      <f>SUM(F15:F16)</f>
    </nc>
  </rcc>
  <rcc rId="652" sId="18">
    <oc r="G17">
      <f>SUM(G15:G16)</f>
    </oc>
    <nc r="G17">
      <f>SUM(G15:G16)</f>
    </nc>
  </rcc>
  <rcc rId="653" sId="18">
    <oc r="K17">
      <f>SUM(K15:K16)</f>
    </oc>
    <nc r="K17">
      <f>SUM(K15:K16)</f>
    </nc>
  </rcc>
  <rcc rId="654" sId="18">
    <oc r="L17">
      <f>SUM(L15:L16)</f>
    </oc>
    <nc r="L17">
      <f>SUM(L15:L16)</f>
    </nc>
  </rcc>
  <rcc rId="655" sId="17">
    <oc r="B18" t="inlineStr">
      <is>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oc>
    <nc r="B18" t="inlineStr">
      <is>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nc>
  </rcc>
  <rcc rId="656" sId="17">
    <oc r="C18" t="inlineStr">
      <is>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is>
    </oc>
    <nc r="C18" t="inlineStr">
      <is>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is>
    </nc>
  </rcc>
  <rfmt sheetId="17" sqref="C19" start="0" length="0">
    <dxf>
      <alignment horizontal="left" vertical="top" wrapText="1" indent="1" readingOrder="0"/>
    </dxf>
  </rfmt>
  <rfmt sheetId="17" sqref="C20" start="0" length="0">
    <dxf>
      <alignment horizontal="left" vertical="top" wrapText="1" indent="1" readingOrder="0"/>
    </dxf>
  </rfmt>
  <rcc rId="657" sId="17">
    <oc r="C23" t="inlineStr">
      <is>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is>
    </oc>
    <n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is>
    </nc>
  </rcc>
  <rcc rId="658" sId="17">
    <oc r="C26" t="inlineStr">
      <is>
        <t>Tier 1 ratio is Tier 1 capital expressed as a percentage of risk weighted assets for credit, market and operational risk.</t>
      </is>
    </oc>
    <nc r="C26" t="inlineStr">
      <is>
        <t>Tier 1 capital ratio calculated as a quotient of Tier 1 capital and risk-weighted assets for credit, market and operational risk.</t>
      </is>
    </nc>
  </rc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cv guid="{2A0EA35A-7F53-4AD8-895C-C234D094A4A4}"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2A0EA35A_7F53_4AD8_895C_C234D094A4A4_.wvu.Cols" hidden="1" oldHidden="1">
    <oldFormula>BS!$D:$O</oldFormula>
  </rdn>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dn rId="0" localSheetId="13" customView="1" name="Z_2A0EA35A_7F53_4AD8_895C_C234D094A4A4_.wvu.Cols" hidden="1" oldHidden="1">
    <formula>'Aktywa i zobow. fin. do obrotu'!$D:$N,'Aktywa i zobow. fin. do obrotu'!$P:$P</formula>
    <oldFormula>'Aktywa i zobow. fin. do obrotu'!$D:$N,'Aktywa i zobow. fin. do obrotu'!$P:$P</oldFormula>
  </rdn>
  <rcv guid="{2A0EA35A-7F53-4AD8-895C-C234D094A4A4}"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cv guid="{2A0EA35A-7F53-4AD8-895C-C234D094A4A4}"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2A0EA35A_7F53_4AD8_895C_C234D094A4A4_.wvu.Cols" hidden="1" oldHidden="1">
    <formula>'P&amp;L'!$C:$J</formula>
  </rdn>
  <rdn rId="0" localSheetId="2" customView="1" name="Z_2A0EA35A_7F53_4AD8_895C_C234D094A4A4_.wvu.PrintArea" hidden="1" oldHidden="1">
    <formula>BS!$A$1:$P$50</formula>
  </rdn>
  <rdn rId="0" localSheetId="2" customView="1" name="Z_2A0EA35A_7F53_4AD8_895C_C234D094A4A4_.wvu.Cols" hidden="1" oldHidden="1">
    <formula>BS!$D:$O</formula>
  </rdn>
  <rdn rId="0" localSheetId="6" customView="1" name="Z_2A0EA35A_7F53_4AD8_895C_C234D094A4A4_.wvu.Cols" hidden="1" oldHidden="1">
    <formula>'Wynik handlowy'!$C:$F</formula>
  </rdn>
  <rdn rId="0" localSheetId="7" customView="1" name="Z_2A0EA35A_7F53_4AD8_895C_C234D094A4A4_.wvu.Cols" hidden="1" oldHidden="1">
    <formula>'Wynik inwestycyjny'!$C:$N</formula>
  </rdn>
  <rdn rId="0" localSheetId="9" customView="1" name="Z_2A0EA35A_7F53_4AD8_895C_C234D094A4A4_.wvu.Cols" hidden="1" oldHidden="1">
    <formula>'Inwestycyjne aktywa finansowe'!$C:$O</formula>
  </rdn>
  <rdn rId="0" localSheetId="13" customView="1" name="Z_2A0EA35A_7F53_4AD8_895C_C234D094A4A4_.wvu.Cols" hidden="1" oldHidden="1">
    <formula>'Aktywa i zobow. fin. do obrotu'!$D:$N,'Aktywa i zobow. fin. do obrotu'!$P:$P</formula>
  </rdn>
  <rcv guid="{2A0EA35A-7F53-4AD8-895C-C234D094A4A4}"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1" sqref="S1" start="0" length="0">
    <dxf>
      <font>
        <b/>
        <sz val="8"/>
        <color rgb="FFCC0000"/>
        <name val="Open Sans"/>
        <scheme val="none"/>
      </font>
      <alignment horizontal="right" vertical="center" wrapText="1" readingOrder="0"/>
      <border outline="0">
        <bottom style="medium">
          <color rgb="FFCC0000"/>
        </bottom>
      </border>
    </dxf>
  </rfmt>
  <rfmt sheetId="17" s="1" sqref="S2" start="0" length="0">
    <dxf>
      <font>
        <sz val="8"/>
        <color auto="1"/>
        <name val="Open Sans"/>
        <scheme val="none"/>
      </font>
      <numFmt numFmtId="168" formatCode="0.0%"/>
      <alignment vertical="center" readingOrder="0"/>
      <border outline="0">
        <top style="dotted">
          <color rgb="FF6F7779"/>
        </top>
      </border>
    </dxf>
  </rfmt>
  <rfmt sheetId="17" s="1" sqref="S3"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7" s="1" sqref="S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7" s="1" sqref="S5"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6"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7"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8"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9"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10"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11"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1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13"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S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7" s="1" sqref="S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7" s="1" sqref="S16" start="0" length="0">
    <dxf>
      <font>
        <sz val="8"/>
        <color auto="1"/>
        <name val="Open Sans"/>
        <scheme val="none"/>
      </font>
      <numFmt numFmtId="4" formatCode="#,##0.00"/>
      <alignment vertical="center" readingOrder="0"/>
      <border outline="0">
        <bottom style="medium">
          <color rgb="FFCC0000"/>
        </bottom>
      </border>
    </dxf>
  </rfmt>
  <rcc rId="404" sId="17">
    <nc r="S1" t="inlineStr">
      <is>
        <t>Q1-4 2020</t>
      </is>
    </nc>
  </rcc>
  <rcc rId="405" sId="17" numFmtId="14">
    <nc r="S2">
      <v>0.51900000000000002</v>
    </nc>
  </rcc>
  <rcc rId="406" sId="17" numFmtId="14">
    <nc r="S3">
      <v>0.68100000000000005</v>
    </nc>
  </rcc>
  <rcc rId="407" sId="17">
    <oc r="B4" t="inlineStr">
      <is>
        <r>
          <t xml:space="preserve">Marża odsetkowa netto </t>
        </r>
        <r>
          <rPr>
            <vertAlign val="superscript"/>
            <sz val="8"/>
            <rFont val="Open Sans"/>
            <family val="2"/>
            <charset val="238"/>
          </rPr>
          <t>1)</t>
        </r>
        <r>
          <rPr>
            <sz val="8"/>
            <rFont val="Open Sans"/>
            <family val="2"/>
            <charset val="238"/>
          </rPr>
          <t xml:space="preserve"> </t>
        </r>
      </is>
    </oc>
    <nc r="B4" t="inlineStr">
      <is>
        <t xml:space="preserve">Marża odsetkowa netto 1) </t>
      </is>
    </nc>
  </rcc>
  <rcc rId="408" sId="17">
    <oc r="C4" t="inlineStr">
      <is>
        <r>
          <t xml:space="preserve">Net interest margin </t>
        </r>
        <r>
          <rPr>
            <vertAlign val="superscript"/>
            <sz val="8"/>
            <rFont val="Open Sans"/>
            <family val="2"/>
            <charset val="238"/>
          </rPr>
          <t>1)</t>
        </r>
      </is>
    </oc>
    <nc r="C4" t="inlineStr">
      <is>
        <t>Net interest margin 1)</t>
      </is>
    </nc>
  </rcc>
  <rcc rId="409" sId="17" numFmtId="14">
    <nc r="S4">
      <v>2.87E-2</v>
    </nc>
  </rcc>
  <rcc rId="410" sId="17" numFmtId="14">
    <nc r="S5">
      <v>0.249</v>
    </nc>
  </rcc>
  <rcc rId="411" sId="17" numFmtId="14">
    <nc r="S6">
      <v>0.82799999999999996</v>
    </nc>
  </rcc>
  <rcc rId="412" sId="17">
    <oc r="B7" t="inlineStr">
      <is>
        <r>
          <t xml:space="preserve">Wskaźnik kredytów niepracujących </t>
        </r>
        <r>
          <rPr>
            <vertAlign val="superscript"/>
            <sz val="8"/>
            <rFont val="Open Sans"/>
            <family val="2"/>
            <charset val="238"/>
          </rPr>
          <t>2)</t>
        </r>
      </is>
    </oc>
    <nc r="B7" t="inlineStr">
      <is>
        <t>Wskaźnik kredytów niepracujących 2)</t>
      </is>
    </nc>
  </rcc>
  <rcc rId="413" sId="17">
    <oc r="C7" t="inlineStr">
      <is>
        <r>
          <t xml:space="preserve">NPL ratio </t>
        </r>
        <r>
          <rPr>
            <vertAlign val="superscript"/>
            <sz val="8"/>
            <rFont val="Open Sans"/>
            <family val="2"/>
            <charset val="238"/>
          </rPr>
          <t>2)</t>
        </r>
      </is>
    </oc>
    <nc r="C7" t="inlineStr">
      <is>
        <t>NPL ratio 2)</t>
      </is>
    </nc>
  </rcc>
  <rcc rId="414" sId="17" numFmtId="14">
    <nc r="S7">
      <v>5.8000000000000003E-2</v>
    </nc>
  </rcc>
  <rcc rId="415" sId="17">
    <oc r="B8" t="inlineStr">
      <is>
        <r>
          <t xml:space="preserve">Wskaźnik pokrycia rezerwą kredytów niepracujących </t>
        </r>
        <r>
          <rPr>
            <vertAlign val="superscript"/>
            <sz val="8"/>
            <rFont val="Open Sans"/>
            <family val="2"/>
            <charset val="238"/>
          </rPr>
          <t>3)</t>
        </r>
      </is>
    </oc>
    <nc r="B8" t="inlineStr">
      <is>
        <t>Wskaźnik pokrycia rezerwą kredytów niepracujących 3)</t>
      </is>
    </nc>
  </rcc>
  <rcc rId="416" sId="17">
    <oc r="C8" t="inlineStr">
      <is>
        <r>
          <t xml:space="preserve">NPL coverage ratio </t>
        </r>
        <r>
          <rPr>
            <vertAlign val="superscript"/>
            <sz val="8"/>
            <rFont val="Open Sans"/>
            <family val="2"/>
            <charset val="238"/>
          </rPr>
          <t>3)</t>
        </r>
      </is>
    </oc>
    <nc r="C8" t="inlineStr">
      <is>
        <t>NPL coverage ratio 3)</t>
      </is>
    </nc>
  </rcc>
  <rcc rId="417" sId="17" numFmtId="14">
    <nc r="S8">
      <v>0.57899999999999996</v>
    </nc>
  </rcc>
  <rcc rId="418" sId="17">
    <oc r="B9" t="inlineStr">
      <is>
        <r>
          <t xml:space="preserve">Wskaźnik kosztu ryzyka kredytowego </t>
        </r>
        <r>
          <rPr>
            <vertAlign val="superscript"/>
            <sz val="8"/>
            <rFont val="Open Sans"/>
            <family val="2"/>
            <charset val="238"/>
          </rPr>
          <t>4)</t>
        </r>
      </is>
    </oc>
    <nc r="B9" t="inlineStr">
      <is>
        <t>Wskaźnik kosztu ryzyka kredytowego 4)</t>
      </is>
    </nc>
  </rcc>
  <rcc rId="419" sId="17">
    <oc r="C9" t="inlineStr">
      <is>
        <r>
          <t>Credit risk ratio</t>
        </r>
        <r>
          <rPr>
            <vertAlign val="superscript"/>
            <sz val="8"/>
            <rFont val="Open Sans"/>
            <family val="2"/>
            <charset val="238"/>
          </rPr>
          <t xml:space="preserve"> 4)</t>
        </r>
      </is>
    </oc>
    <nc r="C9" t="inlineStr">
      <is>
        <t>Credit risk ratio 4)</t>
      </is>
    </nc>
  </rcc>
  <rcc rId="420" sId="17" numFmtId="14">
    <nc r="S9">
      <v>1.21E-2</v>
    </nc>
  </rcc>
  <rcc rId="421" sId="17">
    <oc r="B10" t="inlineStr">
      <is>
        <r>
          <t xml:space="preserve">ROE (zwrot z kapitału) </t>
        </r>
        <r>
          <rPr>
            <vertAlign val="superscript"/>
            <sz val="8"/>
            <rFont val="Open Sans"/>
            <family val="2"/>
            <charset val="238"/>
          </rPr>
          <t xml:space="preserve">5) </t>
        </r>
      </is>
    </oc>
    <nc r="B10" t="inlineStr">
      <is>
        <t xml:space="preserve">ROE (zwrot z kapitału) 5) </t>
      </is>
    </nc>
  </rcc>
  <rcc rId="422" sId="17">
    <oc r="C10" t="inlineStr">
      <is>
        <r>
          <t xml:space="preserve">ROE </t>
        </r>
        <r>
          <rPr>
            <vertAlign val="superscript"/>
            <sz val="8"/>
            <rFont val="Open Sans"/>
            <family val="2"/>
            <charset val="238"/>
          </rPr>
          <t>5)</t>
        </r>
      </is>
    </oc>
    <nc r="C10" t="inlineStr">
      <is>
        <t>ROE 5)</t>
      </is>
    </nc>
  </rcc>
  <rcc rId="423" sId="17" numFmtId="14">
    <nc r="S10">
      <v>4.3999999999999997E-2</v>
    </nc>
  </rcc>
  <rcc rId="424" sId="17">
    <oc r="B11" t="inlineStr">
      <is>
        <r>
          <t xml:space="preserve">ROTE (zwrot z kapitału materialnego) </t>
        </r>
        <r>
          <rPr>
            <vertAlign val="superscript"/>
            <sz val="8"/>
            <rFont val="Open Sans"/>
            <family val="2"/>
            <charset val="238"/>
          </rPr>
          <t>6)</t>
        </r>
      </is>
    </oc>
    <nc r="B11" t="inlineStr">
      <is>
        <t>ROTE (zwrot z kapitału materialnego) 6)</t>
      </is>
    </nc>
  </rcc>
  <rcc rId="425" sId="17">
    <oc r="C11" t="inlineStr">
      <is>
        <r>
          <t>ROTE</t>
        </r>
        <r>
          <rPr>
            <vertAlign val="superscript"/>
            <sz val="8"/>
            <rFont val="Open Sans"/>
            <family val="2"/>
            <charset val="238"/>
          </rPr>
          <t xml:space="preserve"> 6)</t>
        </r>
      </is>
    </oc>
    <nc r="C11" t="inlineStr">
      <is>
        <t>ROTE 6)</t>
      </is>
    </nc>
  </rcc>
  <rcc rId="426" sId="17" numFmtId="14">
    <nc r="S11">
      <v>5.2999999999999999E-2</v>
    </nc>
  </rcc>
  <rcc rId="427" sId="17">
    <oc r="B12" t="inlineStr">
      <is>
        <r>
          <t xml:space="preserve">ROA (zwrot z aktywów) </t>
        </r>
        <r>
          <rPr>
            <vertAlign val="superscript"/>
            <sz val="8"/>
            <rFont val="Open Sans"/>
            <family val="2"/>
            <charset val="238"/>
          </rPr>
          <t xml:space="preserve">7) </t>
        </r>
      </is>
    </oc>
    <nc r="B12" t="inlineStr">
      <is>
        <t xml:space="preserve">ROA (zwrot z aktywów) 7) </t>
      </is>
    </nc>
  </rcc>
  <rcc rId="428" sId="17">
    <oc r="C12" t="inlineStr">
      <is>
        <r>
          <t xml:space="preserve">ROA </t>
        </r>
        <r>
          <rPr>
            <vertAlign val="superscript"/>
            <sz val="8"/>
            <rFont val="Open Sans"/>
            <family val="2"/>
            <charset val="238"/>
          </rPr>
          <t>7)</t>
        </r>
      </is>
    </oc>
    <nc r="C12" t="inlineStr">
      <is>
        <t>ROA 7)</t>
      </is>
    </nc>
  </rcc>
  <rcc rId="429" sId="17" numFmtId="14">
    <nc r="S12">
      <v>5.0000000000000001E-3</v>
    </nc>
  </rcc>
  <rcc rId="430" sId="17">
    <oc r="B13" t="inlineStr">
      <is>
        <r>
          <t xml:space="preserve">Współczynnik kapitałowy </t>
        </r>
        <r>
          <rPr>
            <vertAlign val="superscript"/>
            <sz val="8"/>
            <rFont val="Open Sans"/>
            <family val="2"/>
            <charset val="238"/>
          </rPr>
          <t>8)</t>
        </r>
      </is>
    </oc>
    <nc r="B13" t="inlineStr">
      <is>
        <t>Współczynnik kapitałowy 8)</t>
      </is>
    </nc>
  </rcc>
  <rcc rId="431" sId="17">
    <oc r="C13" t="inlineStr">
      <is>
        <r>
          <t xml:space="preserve">Capital ratio </t>
        </r>
        <r>
          <rPr>
            <vertAlign val="superscript"/>
            <sz val="8"/>
            <rFont val="Open Sans"/>
            <family val="2"/>
            <charset val="238"/>
          </rPr>
          <t>8)</t>
        </r>
      </is>
    </oc>
    <nc r="C13" t="inlineStr">
      <is>
        <t>Capital ratio 8)</t>
      </is>
    </nc>
  </rcc>
  <rcc rId="432" sId="17" numFmtId="14">
    <nc r="S13">
      <v>0.20039999999999999</v>
    </nc>
  </rcc>
  <rcc rId="433" sId="17">
    <oc r="B14" t="inlineStr">
      <is>
        <r>
          <t xml:space="preserve">Współczynnik kapitału  Tier I </t>
        </r>
        <r>
          <rPr>
            <vertAlign val="superscript"/>
            <sz val="8"/>
            <rFont val="Open Sans"/>
            <family val="2"/>
            <charset val="238"/>
          </rPr>
          <t xml:space="preserve">9) </t>
        </r>
      </is>
    </oc>
    <nc r="B14" t="inlineStr">
      <is>
        <t xml:space="preserve">Współczynnik kapitału  Tier I 9) </t>
      </is>
    </nc>
  </rcc>
  <rcc rId="434" sId="17">
    <oc r="C14" t="inlineStr">
      <is>
        <r>
          <t xml:space="preserve">Tier I ratio </t>
        </r>
        <r>
          <rPr>
            <vertAlign val="superscript"/>
            <sz val="8"/>
            <rFont val="Open Sans"/>
            <family val="2"/>
            <charset val="238"/>
          </rPr>
          <t>9)</t>
        </r>
      </is>
    </oc>
    <nc r="C14" t="inlineStr">
      <is>
        <t>Tier I ratio 9)</t>
      </is>
    </nc>
  </rcc>
  <rcc rId="435" sId="17" numFmtId="14">
    <nc r="S14">
      <v>0.18010000000000001</v>
    </nc>
  </rcc>
  <rcc rId="436" sId="17" numFmtId="4">
    <nc r="S15">
      <v>280.44</v>
    </nc>
  </rcc>
  <rcc rId="437" sId="17">
    <oc r="B16" t="inlineStr">
      <is>
        <r>
          <t xml:space="preserve">Zysk na jedną akcję zwykłą (w zł) </t>
        </r>
        <r>
          <rPr>
            <vertAlign val="superscript"/>
            <sz val="8"/>
            <rFont val="Open Sans"/>
            <family val="2"/>
            <charset val="238"/>
          </rPr>
          <t xml:space="preserve">10) </t>
        </r>
      </is>
    </oc>
    <nc r="B16" t="inlineStr">
      <is>
        <t xml:space="preserve">Zysk na jedną akcję zwykłą (w zł) 10) </t>
      </is>
    </nc>
  </rcc>
  <rcc rId="438" sId="17">
    <oc r="C16" t="inlineStr">
      <is>
        <r>
          <t xml:space="preserve">Earnings per share (in PLN) </t>
        </r>
        <r>
          <rPr>
            <vertAlign val="superscript"/>
            <sz val="8"/>
            <rFont val="Open Sans"/>
            <family val="2"/>
            <charset val="238"/>
          </rPr>
          <t>10)</t>
        </r>
      </is>
    </oc>
    <nc r="C16" t="inlineStr">
      <is>
        <t>Earnings per share (in PLN) 10)</t>
      </is>
    </nc>
  </rcc>
  <rcc rId="439" sId="17" numFmtId="4">
    <nc r="S16">
      <v>10.16</v>
    </nc>
  </rcc>
  <rcc rId="440" sId="18" odxf="1" dxf="1" numFmtId="19">
    <nc r="K2">
      <v>44196</v>
    </nc>
    <odxf>
      <font>
        <b val="0"/>
        <sz val="10"/>
        <name val="Open Sans"/>
        <scheme val="none"/>
      </font>
      <numFmt numFmtId="0" formatCode="General"/>
      <alignment horizontal="general" vertical="bottom" wrapText="0" readingOrder="0"/>
      <border outline="0">
        <top/>
        <bottom/>
      </border>
    </odxf>
    <ndxf>
      <font>
        <b/>
        <sz val="8"/>
        <color rgb="FFCC0000"/>
        <name val="Open Sans"/>
        <scheme val="none"/>
      </font>
      <numFmt numFmtId="19" formatCode="dd/mm/yyyy"/>
      <alignment horizontal="right" vertical="top" wrapText="1" readingOrder="0"/>
      <border outline="0">
        <top style="thin">
          <color indexed="9"/>
        </top>
        <bottom style="medium">
          <color rgb="FFCC0000"/>
        </bottom>
      </border>
    </ndxf>
  </rcc>
  <rfmt sheetId="18" sqref="K3" start="0" length="0">
    <dxf>
      <font>
        <sz val="8"/>
        <color auto="1"/>
        <name val="Open Sans"/>
        <scheme val="none"/>
      </font>
      <numFmt numFmtId="165" formatCode="_(* #\ ###\ ##0_);_(* \(#\ ###\ ##0\);_(* &quot;-&quot;_);_(@_)"/>
      <alignment horizontal="right" vertical="top" readingOrder="0"/>
      <border outline="0">
        <bottom style="dotted">
          <color rgb="FF6F7779"/>
        </bottom>
      </border>
    </dxf>
  </rfmt>
  <rcc rId="441" sId="18" odxf="1" dxf="1" numFmtId="34">
    <nc r="K4">
      <v>128731412</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442" sId="18" odxf="1" dxf="1" numFmtId="34">
    <nc r="K5">
      <v>-586945</v>
    </nc>
    <odxf>
      <font>
        <sz val="10"/>
        <name val="Open Sans"/>
        <scheme val="none"/>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18" sqref="K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cc rId="443" sId="18" odxf="1" dxf="1" numFmtId="34">
    <nc r="K7">
      <v>8657703</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444" sId="18" odxf="1" dxf="1" numFmtId="34">
    <nc r="K8">
      <v>-801265</v>
    </nc>
    <odxf>
      <font>
        <sz val="10"/>
        <name val="Open Sans"/>
        <scheme val="none"/>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18" sqref="K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cc rId="445" sId="18" odxf="1" dxf="1" numFmtId="34">
    <nc r="K10">
      <v>7710686</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446" sId="18" odxf="1" dxf="1" numFmtId="34">
    <nc r="K11">
      <v>-4666098</v>
    </nc>
    <odxf>
      <font>
        <sz val="10"/>
        <name val="Open Sans"/>
        <scheme val="none"/>
      </font>
      <numFmt numFmtId="0" formatCode="General"/>
      <alignment horizontal="general" vertical="bottom" readingOrder="0"/>
      <border outline="0">
        <top/>
      </border>
    </odxf>
    <ndxf>
      <font>
        <sz val="8"/>
        <color auto="1"/>
        <name val="Open Sans"/>
        <scheme val="none"/>
      </font>
      <numFmt numFmtId="165" formatCode="_(* #\ ###\ ##0_);_(* \(#\ ###\ ##0\);_(* &quot;-&quot;_);_(@_)"/>
      <alignment horizontal="right" vertical="top" readingOrder="0"/>
      <border outline="0">
        <top style="dotted">
          <color rgb="FF6F7779"/>
        </top>
      </border>
    </ndxf>
  </rcc>
  <rfmt sheetId="18" sqref="K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cc rId="447" sId="18" odxf="1" dxf="1" numFmtId="34">
    <nc r="K13">
      <v>725705</v>
    </nc>
    <odxf>
      <font>
        <sz val="10"/>
        <name val="Open Sans"/>
        <scheme val="none"/>
      </font>
      <numFmt numFmtId="0" formatCode="General"/>
      <alignment horizontal="general" vertical="bottom" readingOrder="0"/>
      <border outline="0">
        <bottom/>
      </border>
    </odxf>
    <ndxf>
      <font>
        <sz val="8"/>
        <color auto="1"/>
        <name val="Open Sans"/>
        <scheme val="none"/>
      </font>
      <numFmt numFmtId="165" formatCode="_(* #\ ###\ ##0_);_(* \(#\ ###\ ##0\);_(* &quot;-&quot;_);_(@_)"/>
      <alignment horizontal="right" vertical="top" readingOrder="0"/>
      <border outline="0">
        <bottom style="dotted">
          <color rgb="FF6F7779"/>
        </bottom>
      </border>
    </ndxf>
  </rcc>
  <rcc rId="448" sId="18" odxf="1" dxf="1" numFmtId="34">
    <nc r="K14">
      <v>-221470</v>
    </nc>
    <odxf>
      <font>
        <sz val="10"/>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top" readingOrder="0"/>
      <border outline="0">
        <top style="dotted">
          <color rgb="FF6F7779"/>
        </top>
        <bottom style="medium">
          <color rgb="FFC00000"/>
        </bottom>
      </border>
    </ndxf>
  </rcc>
  <rcc rId="449" sId="18">
    <oc r="F15">
      <f>F13+F10+F7+F4</f>
    </oc>
    <nc r="F15">
      <f>F13+F10+F7+F4</f>
    </nc>
  </rcc>
  <rcc rId="450" sId="18">
    <oc r="G15">
      <f>G13+G10+G7+G4</f>
    </oc>
    <nc r="G15">
      <f>G13+G10+G7+G4</f>
    </nc>
  </rcc>
  <rcc rId="451" sId="18" odxf="1" dxf="1">
    <nc r="K15">
      <f>K4+K7+K10+K13</f>
    </nc>
    <odxf>
      <font>
        <b val="0"/>
        <sz val="10"/>
        <name val="Open Sans"/>
        <scheme val="none"/>
      </font>
      <numFmt numFmtId="0" formatCode="General"/>
      <alignment horizontal="general" vertical="bottom" readingOrder="0"/>
      <border outline="0">
        <bottom/>
      </border>
    </odxf>
    <ndxf>
      <font>
        <b/>
        <sz val="8"/>
        <color auto="1"/>
        <name val="Open Sans"/>
        <scheme val="none"/>
      </font>
      <numFmt numFmtId="165" formatCode="_(* #\ ###\ ##0_);_(* \(#\ ###\ ##0\);_(* &quot;-&quot;_);_(@_)"/>
      <alignment horizontal="right" vertical="top" readingOrder="0"/>
      <border outline="0">
        <bottom style="dotted">
          <color theme="0" tint="-0.499984740745262"/>
        </bottom>
      </border>
    </ndxf>
  </rcc>
  <rcc rId="452" sId="18">
    <oc r="F16">
      <f>F14+F11+F8+F5</f>
    </oc>
    <nc r="F16">
      <f>F14+F11+F8+F5</f>
    </nc>
  </rcc>
  <rcc rId="453" sId="18">
    <oc r="G16">
      <f>G14+G11+G8+G5</f>
    </oc>
    <nc r="G16">
      <f>G14+G11+G8+G5</f>
    </nc>
  </rcc>
  <rcc rId="454" sId="18" odxf="1" dxf="1">
    <nc r="K16">
      <f>K5+K8+K11+K14</f>
    </nc>
    <odxf>
      <font>
        <b val="0"/>
        <sz val="10"/>
        <name val="Open Sans"/>
        <scheme val="none"/>
      </font>
      <numFmt numFmtId="0" formatCode="General"/>
      <alignment horizontal="general" vertical="bottom" readingOrder="0"/>
      <border outline="0">
        <top/>
      </border>
    </odxf>
    <ndxf>
      <font>
        <b/>
        <sz val="8"/>
        <color auto="1"/>
        <name val="Open Sans"/>
        <scheme val="none"/>
      </font>
      <numFmt numFmtId="165" formatCode="_(* #\ ###\ ##0_);_(* \(#\ ###\ ##0\);_(* &quot;-&quot;_);_(@_)"/>
      <alignment horizontal="right" vertical="top" readingOrder="0"/>
      <border outline="0">
        <top style="dotted">
          <color theme="0" tint="-0.499984740745262"/>
        </top>
      </border>
    </ndxf>
  </rcc>
  <rcc rId="455" sId="18">
    <oc r="F17">
      <f>SUM(F15:F16)</f>
    </oc>
    <nc r="F17">
      <f>SUM(F15:F16)</f>
    </nc>
  </rcc>
  <rcc rId="456" sId="18">
    <oc r="G17">
      <f>SUM(G15:G16)</f>
    </oc>
    <nc r="G17">
      <f>SUM(G15:G16)</f>
    </nc>
  </rcc>
  <rcc rId="457" sId="18" odxf="1" dxf="1">
    <nc r="K17">
      <f>SUM(K15:K16)</f>
    </nc>
    <odxf>
      <font>
        <b val="0"/>
        <sz val="10"/>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ndxf>
  </rcc>
  <rfmt sheetId="20" sqref="V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cc rId="458" sId="20" odxf="1" dxf="1" numFmtId="19">
    <nc r="V3">
      <v>44196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459" sId="20" odxf="1" s="1" dxf="1" numFmtId="4">
    <nc r="V4">
      <v>5448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60" sId="20" odxf="1" s="1" dxf="1" numFmtId="4">
    <nc r="V5">
      <v>2934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61" sId="20" odxf="1" s="1" dxf="1" numFmtId="4">
    <nc r="V6">
      <v>1967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62" sId="20" odxf="1" s="1" dxf="1" numFmtId="4">
    <nc r="V7">
      <v>4268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463" sId="20" odxf="1" s="1" dxf="1" numFmtId="4">
    <nc r="V8">
      <v>1189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64" sId="20" odxf="1" s="1" dxf="1" numFmtId="4">
    <nc r="V9">
      <v>7083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65" sId="20" odxf="1" s="1" dxf="1" numFmtId="4">
    <nc r="V10">
      <v>4850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66" sId="20" odxf="1" s="1" dxf="1" numFmtId="4">
    <nc r="V11">
      <v>550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67" sId="20" odxf="1" s="1" dxf="1" numFmtId="4">
    <nc r="V12">
      <v>380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68" sId="20" odxf="1" s="1" dxf="1" numFmtId="4">
    <nc r="V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469" sId="20" odxf="1" s="1" dxf="1" numFmtId="4">
    <nc r="V14">
      <v>1661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70" sId="20">
    <oc r="C15" t="inlineStr">
      <is>
        <t xml:space="preserve">Zatrudnienie </t>
      </is>
    </oc>
    <nc r="C15" t="inlineStr">
      <is>
        <r>
          <t xml:space="preserve">Zatrudnienie </t>
        </r>
        <r>
          <rPr>
            <vertAlign val="superscript"/>
            <sz val="7"/>
            <color theme="1"/>
            <rFont val="Open Sans"/>
            <family val="2"/>
            <charset val="238"/>
          </rPr>
          <t>4)</t>
        </r>
      </is>
    </nc>
  </rcc>
  <rcc rId="471" sId="20" numFmtId="4">
    <oc r="R15">
      <v>13642</v>
    </oc>
    <nc r="R15">
      <v>13579</v>
    </nc>
  </rcc>
  <rcc rId="472" sId="20" numFmtId="4">
    <oc r="S15">
      <v>13383</v>
    </oc>
    <nc r="S15">
      <v>13318</v>
    </nc>
  </rcc>
  <rcc rId="473" sId="20" numFmtId="4">
    <oc r="T15">
      <v>13201</v>
    </oc>
    <nc r="T15">
      <v>13135</v>
    </nc>
  </rcc>
  <rcc rId="474" sId="20" odxf="1" s="1" dxf="1" numFmtId="4">
    <nc r="V15">
      <v>12616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475" sId="20">
    <oc r="S16">
      <f>S3</f>
    </oc>
    <nc r="S16">
      <f>S3</f>
    </nc>
  </rcc>
  <rcc rId="476" sId="20" odxf="1" s="1" dxf="1" numFmtId="19">
    <nc r="V16">
      <v>44196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477" sId="20">
    <oc r="C17" t="inlineStr">
      <is>
        <r>
          <t xml:space="preserve">Aktywa netto funduszy inwestycyjnych </t>
        </r>
        <r>
          <rPr>
            <vertAlign val="superscript"/>
            <sz val="7"/>
            <color theme="1"/>
            <rFont val="Open Sans"/>
            <family val="2"/>
            <charset val="238"/>
          </rPr>
          <t>4)</t>
        </r>
      </is>
    </oc>
    <nc r="C17" t="inlineStr">
      <is>
        <r>
          <t xml:space="preserve">Aktywa netto funduszy inwestycyjnych </t>
        </r>
        <r>
          <rPr>
            <vertAlign val="superscript"/>
            <sz val="7"/>
            <color theme="1"/>
            <rFont val="Open Sans"/>
            <family val="2"/>
            <charset val="238"/>
          </rPr>
          <t>5)</t>
        </r>
      </is>
    </nc>
  </rcc>
  <rcc rId="478" sId="20" odxf="1" s="1" dxf="1" numFmtId="4">
    <nc r="V17">
      <v>16168685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479" sId="20">
    <oc r="C19" t="inlineStr">
      <is>
        <t xml:space="preserve">Zarejestrowani klienci bankowości internetowej i mobilnej Santander Bank Polska S.A. 
Od III kw. 2020 r. prezentowane dane uwzględniają także klientów Santander Consumer Bank S.A., którzy podpisali umowę o dostęp do usług bankowości elektronicznej. </t>
      </is>
    </oc>
    <nc r="C19" t="inlineStr">
      <is>
        <t xml:space="preserve">Zarejestrowani klienci bankowości internetowej i mobilnej Santander Bank Polska S.A. od III kw. 2020 r.  prezentowani są łącznie z klientami 
Santander Consumer Bank S.A. posiadającymi umowę o dostęp do usług bankowości elektronicznej i aktywny produkt.  </t>
      </is>
    </nc>
  </rcc>
  <rcc rId="480" sId="20" odxf="1" dxf="1">
    <oc r="D19" t="inlineStr">
      <is>
        <t>Registered customers of internet and mobile banking services of Santander Bank Polska S.A. 
Starting from Q3 2020, the stated data include customers of Santander Consumer Bank S.A. who signed an electronic banking services agreements.</t>
      </is>
    </oc>
    <nc r="D19" t="inlineStr">
      <is>
        <t>Registered customers of internet and mobile banking services of Santander Bank Polska S.A. Starting from Q3 2020, the stated data include customers of Santander Consumer Bank S.A. who signed an electronic banking services agreements.</t>
      </is>
    </nc>
    <odxf>
      <alignment indent="1" readingOrder="0"/>
    </odxf>
    <ndxf>
      <alignment indent="0" readingOrder="0"/>
    </ndxf>
  </rcc>
  <rcc rId="481" sId="20">
    <oc r="C20" t="inlineStr">
      <is>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is>
    </oc>
    <nc r="C20" t="inlineStr">
      <is>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prezentowane dane uwzględniają klientów Santander Consumer Bank S.A. spełniajcych ww. kryteria.  </t>
      </is>
    </nc>
  </rcc>
  <rfmt sheetId="20" sqref="D20" start="0" length="0">
    <dxf>
      <alignment indent="0" readingOrder="0"/>
    </dxf>
  </rfmt>
  <rcc rId="482" sId="20">
    <oc r="C21" t="inlineStr">
      <is>
        <t xml:space="preserve">Małe akwizycyjne jednostki Santander Bank Polska S.A. są raportowane odrębnie od końca 2019 r. </t>
      </is>
    </oc>
    <nc r="C21" t="inlineStr">
      <is>
        <t xml:space="preserve">Małe akwizycyjne jednostki Santander Bank Polska S.A. raportowane są odrębnie od końca 2019 r. </t>
      </is>
    </nc>
  </rcc>
  <rfmt sheetId="20" sqref="D21" start="0" length="0">
    <dxf>
      <alignment indent="0" readingOrder="0"/>
    </dxf>
  </rfmt>
  <rcc rId="483" sId="20">
    <oc r="C22" t="inlineStr">
      <is>
        <t>Aktywa netto funduszy inwestycyjnych zarządzanych przez Santander Towarzystwo Funduszy Inwestycyjnych S.A.</t>
      </is>
    </oc>
    <nc r="C22" t="inlineStr">
      <is>
        <t xml:space="preserve">Zatrudnienie w Grupie Santander Bank Polska S.A. zostało skorygowane wstecznie o etaty w Santander Consumer Bank  niespełniające kryteria klasyfikacji. </t>
      </is>
    </nc>
  </rcc>
  <rcc rId="484" sId="20" odxf="1" dxf="1">
    <oc r="D22" t="inlineStr">
      <is>
        <t>Net assets of mutual funds under management of Santander Towarzystwo Funduszy Inwestycyjnych S.A.</t>
      </is>
    </oc>
    <nc r="D22" t="inlineStr">
      <is>
        <t>Employment with Santander Bank Polska S.A. Group has been adjusted by posts in Santander Consumer Bank that do not meet the classification criteria.</t>
      </is>
    </nc>
    <odxf>
      <alignment indent="1" readingOrder="0"/>
    </odxf>
    <ndxf>
      <alignment indent="0" readingOrder="0"/>
    </ndxf>
  </rcc>
  <rcc rId="485" sId="20" odxf="1" s="1" dxf="1">
    <nc r="B23" t="inlineStr">
      <is>
        <t>5)</t>
      </is>
    </nc>
    <o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6"/>
        <color theme="1"/>
        <name val="Open Sans"/>
        <scheme val="none"/>
      </font>
      <alignment horizontal="left" vertical="center" readingOrder="0"/>
    </ndxf>
  </rcc>
  <rcc rId="486" sId="20" odxf="1" s="1" dxf="1">
    <nc r="C23" t="inlineStr">
      <is>
        <t>Aktywa netto funduszy inwestycyjnych zarządzanych przez Santander Towarzystwo Funduszy Inwestycyjnych S.A.</t>
      </is>
    </nc>
    <odxf>
      <font>
        <b val="0"/>
        <i val="0"/>
        <strike val="0"/>
        <condense val="0"/>
        <extend val="0"/>
        <outline val="0"/>
        <shadow val="0"/>
        <u val="none"/>
        <vertAlign val="baseline"/>
        <sz val="7"/>
        <color theme="1"/>
        <name val="Open Sans"/>
        <scheme val="none"/>
      </font>
      <numFmt numFmtId="0" formatCode="General"/>
      <fill>
        <patternFill patternType="solid">
          <fgColor indexed="64"/>
          <bgColor rgb="FFFFFFFF"/>
        </patternFill>
      </fill>
      <alignment horizontal="left" vertical="center" textRotation="0" wrapText="1" indent="0" justifyLastLine="0" shrinkToFit="0" readingOrder="0"/>
      <border diagonalUp="0" diagonalDown="0" outline="0">
        <left/>
        <right/>
        <top/>
        <bottom/>
      </border>
      <protection locked="1" hidden="0"/>
    </odxf>
    <ndxf>
      <font>
        <i/>
        <sz val="6"/>
        <color theme="1"/>
        <name val="Open Sans"/>
        <scheme val="none"/>
      </font>
      <fill>
        <patternFill patternType="none">
          <bgColor indexed="65"/>
        </patternFill>
      </fill>
      <alignment shrinkToFit="1" readingOrder="0"/>
    </ndxf>
  </rcc>
  <rcc rId="487" sId="20" odxf="1" s="1" dxf="1">
    <nc r="D23" t="inlineStr">
      <is>
        <t>Net assets of mutual funds under management of Santander Towarzystwo Funduszy Inwestycyjnych S.A.</t>
      </is>
    </nc>
    <odxf>
      <font>
        <b val="0"/>
        <i val="0"/>
        <strike val="0"/>
        <condense val="0"/>
        <extend val="0"/>
        <outline val="0"/>
        <shadow val="0"/>
        <u val="none"/>
        <vertAlign val="baseline"/>
        <sz val="7"/>
        <color theme="1"/>
        <name val="Open Sans"/>
        <scheme val="none"/>
      </font>
      <numFmt numFmtId="0" formatCode="General"/>
      <fill>
        <patternFill patternType="solid">
          <fgColor indexed="64"/>
          <bgColor rgb="FFFFFFFF"/>
        </patternFill>
      </fill>
      <alignment horizontal="left" vertical="center" textRotation="0" wrapText="1" indent="0" justifyLastLine="0" shrinkToFit="0" readingOrder="0"/>
      <border diagonalUp="0" diagonalDown="0" outline="0">
        <left/>
        <right/>
        <top/>
        <bottom/>
      </border>
      <protection locked="1" hidden="0"/>
    </odxf>
    <ndxf>
      <font>
        <i/>
        <sz val="6"/>
        <color theme="1"/>
        <name val="Open Sans"/>
        <scheme val="none"/>
      </font>
      <fill>
        <patternFill patternType="none">
          <bgColor indexed="65"/>
        </patternFill>
      </fill>
      <alignment shrinkToFit="1" readingOrder="0"/>
    </ndxf>
  </rcc>
  <rcv guid="{2A0EA35A-7F53-4AD8-895C-C234D094A4A4}" action="delete"/>
  <rdn rId="0" localSheetId="1" customView="1" name="Z_2A0EA35A_7F53_4AD8_895C_C234D094A4A4_.wvu.Cols" hidden="1" oldHidden="1">
    <formula>'P&amp;L'!$C:$J</formula>
    <oldFormula>'P&amp;L'!$C:$J</oldFormula>
  </rdn>
  <rdn rId="0" localSheetId="2" customView="1" name="Z_2A0EA35A_7F53_4AD8_895C_C234D094A4A4_.wvu.PrintArea" hidden="1" oldHidden="1">
    <formula>BS!$A$1:$P$50</formula>
    <oldFormula>BS!$A$1:$P$50</oldFormula>
  </rdn>
  <rdn rId="0" localSheetId="6" customView="1" name="Z_2A0EA35A_7F53_4AD8_895C_C234D094A4A4_.wvu.Cols" hidden="1" oldHidden="1">
    <formula>'Wynik handlowy'!$C:$F</formula>
    <oldFormula>'Wynik handlowy'!$C:$F</oldFormula>
  </rdn>
  <rdn rId="0" localSheetId="7" customView="1" name="Z_2A0EA35A_7F53_4AD8_895C_C234D094A4A4_.wvu.Cols" hidden="1" oldHidden="1">
    <formula>'Wynik inwestycyjny'!$C:$N</formula>
    <oldFormula>'Wynik inwestycyjny'!$C:$N</oldFormula>
  </rdn>
  <rdn rId="0" localSheetId="9" customView="1" name="Z_2A0EA35A_7F53_4AD8_895C_C234D094A4A4_.wvu.Cols" hidden="1" oldHidden="1">
    <formula>'Inwestycyjne aktywa finansowe'!$C:$O</formula>
    <oldFormula>'Inwestycyjne aktywa finansowe'!$C:$O</oldFormula>
  </rdn>
  <rdn rId="0" localSheetId="13" customView="1" name="Z_2A0EA35A_7F53_4AD8_895C_C234D094A4A4_.wvu.Cols" hidden="1" oldHidden="1">
    <formula>'Aktywa i zobow. fin. do obrotu'!$D:$N,'Aktywa i zobow. fin. do obrotu'!$P:$P</formula>
    <oldFormula>'Aktywa i zobow. fin. do obrotu'!$D:$N,'Aktywa i zobow. fin. do obrotu'!$P:$P</oldFormula>
  </rdn>
  <rcv guid="{2A0EA35A-7F53-4AD8-895C-C234D094A4A4}"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2F8D032-8143-430B-8DFF-852E8796C402}" action="delete"/>
  <rdn rId="0" localSheetId="2" customView="1" name="Z_12F8D032_8143_430B_8DFF_852E8796C402_.wvu.PrintArea" hidden="1" oldHidden="1">
    <formula>BS!$A$1:$P$50</formula>
    <oldFormula>BS!$A$1:$P$50</oldFormula>
  </rdn>
  <rdn rId="0" localSheetId="13"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W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W3" start="0" length="0">
    <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dxf>
  </rfmt>
  <rfmt sheetId="20" s="1" sqref="W4" start="0" length="0">
    <dxf>
      <font>
        <sz val="7"/>
        <color auto="1"/>
        <name val="Open Sans"/>
        <scheme val="none"/>
      </font>
      <alignment horizontal="right" vertical="center" wrapText="1" readingOrder="0"/>
    </dxf>
  </rfmt>
  <rfmt sheetId="20" s="1" sqref="W5" start="0" length="0">
    <dxf>
      <font>
        <sz val="7"/>
        <color auto="1"/>
        <name val="Open Sans"/>
        <scheme val="none"/>
      </font>
      <alignment horizontal="right" vertical="center" wrapText="1" readingOrder="0"/>
    </dxf>
  </rfmt>
  <rfmt sheetId="20" s="1" sqref="W6" start="0" length="0">
    <dxf>
      <font>
        <sz val="7"/>
        <color auto="1"/>
        <name val="Open Sans"/>
        <scheme val="none"/>
      </font>
      <alignment horizontal="right" vertical="center" wrapText="1" readingOrder="0"/>
    </dxf>
  </rfmt>
  <rfmt sheetId="20" s="1" sqref="W7" start="0" length="0">
    <dxf>
      <font>
        <sz val="7"/>
        <color auto="1"/>
        <name val="Open Sans"/>
        <scheme val="none"/>
      </font>
      <alignment horizontal="right" vertical="center" wrapText="1" readingOrder="0"/>
      <border outline="0">
        <top style="thin">
          <color rgb="FFC00000"/>
        </top>
      </border>
    </dxf>
  </rfmt>
  <rfmt sheetId="20" s="1" sqref="W8" start="0" length="0">
    <dxf>
      <font>
        <sz val="7"/>
        <color auto="1"/>
        <name val="Open Sans"/>
        <scheme val="none"/>
      </font>
      <alignment horizontal="right" vertical="center" wrapText="1" readingOrder="0"/>
      <border outline="0">
        <bottom style="thin">
          <color rgb="FFC00000"/>
        </bottom>
      </border>
    </dxf>
  </rfmt>
  <rfmt sheetId="20" s="1" sqref="W9" start="0" length="0">
    <dxf>
      <font>
        <sz val="7"/>
        <color auto="1"/>
        <name val="Open Sans"/>
        <scheme val="none"/>
      </font>
      <alignment horizontal="right" vertical="center" wrapText="1" readingOrder="0"/>
    </dxf>
  </rfmt>
  <rfmt sheetId="20" s="1" sqref="W10" start="0" length="0">
    <dxf>
      <font>
        <sz val="7"/>
        <color auto="1"/>
        <name val="Open Sans"/>
        <scheme val="none"/>
      </font>
      <alignment horizontal="right" vertical="center" wrapText="1" readingOrder="0"/>
      <border outline="0">
        <bottom style="thin">
          <color rgb="FFC00000"/>
        </bottom>
      </border>
    </dxf>
  </rfmt>
  <rfmt sheetId="20" s="1" sqref="W11" start="0" length="0">
    <dxf>
      <font>
        <sz val="7"/>
        <color auto="1"/>
        <name val="Open Sans"/>
        <scheme val="none"/>
      </font>
      <alignment horizontal="right" vertical="center" wrapText="1" readingOrder="0"/>
    </dxf>
  </rfmt>
  <rfmt sheetId="20" s="1" sqref="W12" start="0" length="0">
    <dxf>
      <font>
        <sz val="7"/>
        <color auto="1"/>
        <name val="Open Sans"/>
        <scheme val="none"/>
      </font>
      <alignment horizontal="right" vertical="center" wrapText="1" readingOrder="0"/>
    </dxf>
  </rfmt>
  <rfmt sheetId="20" s="1" sqref="W13" start="0" length="0">
    <dxf>
      <font>
        <sz val="7"/>
        <color auto="1"/>
        <name val="Open Sans"/>
        <scheme val="none"/>
      </font>
      <alignment horizontal="right" vertical="center" wrapText="1" readingOrder="0"/>
    </dxf>
  </rfmt>
  <rfmt sheetId="20" s="1" sqref="W14" start="0" length="0">
    <dxf>
      <font>
        <sz val="7"/>
        <color auto="1"/>
        <name val="Open Sans"/>
        <scheme val="none"/>
      </font>
      <alignment horizontal="right" vertical="center" wrapText="1" readingOrder="0"/>
      <border outline="0">
        <bottom style="thin">
          <color rgb="FFC00000"/>
        </bottom>
      </border>
    </dxf>
  </rfmt>
  <rfmt sheetId="20" s="1" sqref="W15" start="0" length="0">
    <dxf>
      <font>
        <sz val="7"/>
        <color auto="1"/>
        <name val="Open Sans"/>
        <scheme val="none"/>
      </font>
      <alignment horizontal="right" vertical="center" wrapText="1" readingOrder="0"/>
      <border outline="0">
        <bottom style="thin">
          <color rgb="FFC00000"/>
        </bottom>
      </border>
    </dxf>
  </rfmt>
  <rfmt sheetId="20" s="1" sqref="W16" start="0" length="0">
    <dxf>
      <font>
        <b/>
        <sz val="7"/>
        <color rgb="FFC00000"/>
        <name val="Open Sans"/>
        <scheme val="none"/>
      </font>
      <numFmt numFmtId="19" formatCode="dd/mm/yyyy"/>
      <alignment horizontal="right" vertical="center" wrapText="1" readingOrder="0"/>
      <border outline="0">
        <bottom style="medium">
          <color rgb="FFCC0000"/>
        </bottom>
      </border>
    </dxf>
  </rfmt>
  <rfmt sheetId="20" s="1" sqref="W17" start="0" length="0">
    <dxf>
      <font>
        <sz val="7"/>
        <color auto="1"/>
        <name val="Open Sans"/>
        <scheme val="none"/>
      </font>
      <alignment horizontal="right" vertical="center" wrapText="1" readingOrder="0"/>
      <border outline="0">
        <bottom style="thin">
          <color rgb="FFCC0000"/>
        </bottom>
      </border>
    </dxf>
  </rfmt>
  <rcc rId="496" sId="20" numFmtId="19">
    <nc r="W16">
      <f>W3</f>
    </nc>
  </rcc>
  <rcc rId="497" sId="20" odxf="1" dxf="1">
    <nc r="X3" t="inlineStr">
      <is>
        <r>
          <t xml:space="preserve">Klienci bankowości elektronicznej </t>
        </r>
        <r>
          <rPr>
            <vertAlign val="superscript"/>
            <sz val="7"/>
            <color theme="1"/>
            <rFont val="Open Sans"/>
            <family val="2"/>
            <charset val="238"/>
          </rPr>
          <t>1)</t>
        </r>
      </is>
    </nc>
    <odxf>
      <font>
        <name val="Open Sans"/>
        <scheme val="none"/>
      </font>
      <fill>
        <patternFill patternType="none">
          <bgColor indexed="65"/>
        </patternFill>
      </fill>
      <alignment horizontal="general" vertical="bottom" wrapText="0" readingOrder="0"/>
    </odxf>
    <ndxf>
      <font>
        <sz val="7"/>
        <name val="Open Sans"/>
        <scheme val="none"/>
      </font>
      <fill>
        <patternFill patternType="solid">
          <bgColor rgb="FFFFFFFF"/>
        </patternFill>
      </fill>
      <alignment horizontal="left" vertical="center" wrapText="1" readingOrder="0"/>
    </ndxf>
  </rcc>
  <rcc rId="498" sId="20" odxf="1" s="1" dxf="1">
    <nc r="X4" t="inlineStr">
      <is>
        <r>
          <rPr>
            <sz val="7"/>
            <color theme="1"/>
            <rFont val="Open Sans"/>
            <family val="2"/>
            <charset val="238"/>
          </rPr>
          <t xml:space="preserve">Aktywni klienci cyfrowi </t>
        </r>
        <r>
          <rPr>
            <vertAlign val="superscript"/>
            <sz val="7"/>
            <color theme="1"/>
            <rFont val="Open Sans"/>
            <family val="2"/>
            <charset val="238"/>
          </rPr>
          <t>2)</t>
        </r>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vertAlign val="superscript"/>
        <sz val="7"/>
        <color theme="1"/>
        <name val="Open Sans"/>
        <scheme val="none"/>
      </font>
      <numFmt numFmtId="0" formatCode="General"/>
      <fill>
        <patternFill patternType="solid">
          <bgColor rgb="FFFFFFFF"/>
        </patternFill>
      </fill>
      <alignment horizontal="left" vertical="center" wrapText="1" readingOrder="0"/>
    </ndxf>
  </rcc>
  <rcc rId="499" sId="20" odxf="1" s="1" dxf="1">
    <nc r="X5" t="inlineStr">
      <is>
        <t xml:space="preserve">Aktywni klienci bankowości mobilnej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ndxf>
  </rcc>
  <rcc rId="500" sId="20" odxf="1" s="1" dxf="1">
    <nc r="X6" t="inlineStr">
      <is>
        <t xml:space="preserve">Karty płatnicze debetowe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border outline="0">
        <top style="thin">
          <color rgb="FFCC0000"/>
        </top>
      </border>
    </ndxf>
  </rcc>
  <rcc rId="501" sId="20" odxf="1" s="1" dxf="1">
    <nc r="X7" t="inlineStr">
      <is>
        <t xml:space="preserve">Karty płatnicze kredytowe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border outline="0">
        <bottom style="thin">
          <color rgb="FFCC0000"/>
        </bottom>
      </border>
    </ndxf>
  </rcc>
  <rcc rId="502" sId="20" odxf="1" s="1" dxf="1">
    <nc r="X8" t="inlineStr">
      <is>
        <t xml:space="preserve">Baza klientów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ndxf>
  </rcc>
  <rcc rId="503" sId="20" odxf="1" s="1" dxf="1">
    <nc r="X9" t="inlineStr">
      <is>
        <t>Liczba kont osobistych (złotowe i walutowe)</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border outline="0">
        <bottom style="thin">
          <color rgb="FFC00000"/>
        </bottom>
      </border>
    </ndxf>
  </rcc>
  <rcc rId="504" sId="20" odxf="1" s="1" dxf="1">
    <nc r="X10" t="inlineStr">
      <is>
        <t xml:space="preserve">Sieć oddziałów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ndxf>
  </rcc>
  <rcc rId="505" sId="20" odxf="1" s="1" dxf="1">
    <nc r="X11" t="inlineStr">
      <is>
        <t xml:space="preserve">Placówki partnerskie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ndxf>
  </rcc>
  <rcc rId="506" sId="20" odxf="1" s="1" dxf="1">
    <nc r="X12" t="inlineStr">
      <is>
        <r>
          <t>Stanowiska zewnętrzne i Strefy Santander</t>
        </r>
        <r>
          <rPr>
            <vertAlign val="superscript"/>
            <sz val="7"/>
            <color theme="1"/>
            <rFont val="Open Sans"/>
            <family val="2"/>
            <charset val="238"/>
          </rPr>
          <t xml:space="preserve"> 3)</t>
        </r>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ndxf>
  </rcc>
  <rcc rId="507" sId="20" odxf="1" s="1" dxf="1">
    <nc r="X13" t="inlineStr">
      <is>
        <t xml:space="preserve">Bankomaty, wpłatomaty, urządzenia dualne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border outline="0">
        <bottom style="thin">
          <color rgb="FFC00000"/>
        </bottom>
      </border>
    </ndxf>
  </rcc>
  <rcc rId="508" sId="20" odxf="1" s="1" dxf="1">
    <nc r="X14" t="inlineStr">
      <is>
        <r>
          <t xml:space="preserve">Zatrudnienie </t>
        </r>
        <r>
          <rPr>
            <vertAlign val="superscript"/>
            <sz val="7"/>
            <color theme="1"/>
            <rFont val="Open Sans"/>
            <family val="2"/>
            <charset val="238"/>
          </rPr>
          <t>4)</t>
        </r>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vertical="center" wrapText="1" readingOrder="0"/>
      <border outline="0">
        <top style="thin">
          <color rgb="FFC00000"/>
        </top>
        <bottom style="thin">
          <color rgb="FFC00000"/>
        </bottom>
      </border>
    </ndxf>
  </rcc>
  <rcc rId="509" sId="20" odxf="1" s="1" dxf="1">
    <nc r="X15" t="inlineStr">
      <is>
        <t xml:space="preserve">Wybrane dane pozabilansowe </t>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0" formatCode="General"/>
      <fill>
        <patternFill patternType="solid">
          <bgColor rgb="FFFFFFFF"/>
        </patternFill>
      </fill>
      <alignment vertical="center" wrapText="1" readingOrder="0"/>
      <border outline="0">
        <bottom style="medium">
          <color rgb="FFCC0000"/>
        </bottom>
      </border>
    </ndxf>
  </rcc>
  <rcc rId="510" sId="20" odxf="1" s="1" dxf="1">
    <nc r="X16" t="inlineStr">
      <is>
        <r>
          <t xml:space="preserve">Aktywa netto funduszy inwestycyjnych </t>
        </r>
        <r>
          <rPr>
            <vertAlign val="superscript"/>
            <sz val="7"/>
            <color theme="1"/>
            <rFont val="Open Sans"/>
            <family val="2"/>
            <charset val="238"/>
          </rPr>
          <t>5)</t>
        </r>
      </is>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theme="1"/>
        <name val="Open Sans"/>
        <scheme val="none"/>
      </font>
      <numFmt numFmtId="0" formatCode="General"/>
      <fill>
        <patternFill patternType="solid">
          <bgColor rgb="FFFFFFFF"/>
        </patternFill>
      </fill>
      <alignment horizontal="left" wrapText="1" readingOrder="0"/>
      <border outline="0">
        <bottom style="thin">
          <color rgb="FFCC0000"/>
        </bottom>
      </border>
    </ndxf>
  </rcc>
  <rm rId="511" sheetId="20" source="X3:X16" destination="Z4:Z17" sourceSheetId="20">
    <rfmt sheetId="20" sqref="Z4" start="0" length="0">
      <dxf>
        <numFmt numFmtId="3" formatCode="#,##0"/>
      </dxf>
    </rfmt>
    <rfmt sheetId="20" sqref="Z5" start="0" length="0">
      <dxf>
        <numFmt numFmtId="3" formatCode="#,##0"/>
      </dxf>
    </rfmt>
    <rfmt sheetId="20" sqref="Z6" start="0" length="0">
      <dxf>
        <numFmt numFmtId="3" formatCode="#,##0"/>
      </dxf>
    </rfmt>
    <rfmt sheetId="20" sqref="Z7" start="0" length="0">
      <dxf>
        <numFmt numFmtId="3" formatCode="#,##0"/>
      </dxf>
    </rfmt>
    <rfmt sheetId="20" sqref="Z8" start="0" length="0">
      <dxf>
        <numFmt numFmtId="3" formatCode="#,##0"/>
      </dxf>
    </rfmt>
    <rfmt sheetId="20" sqref="Z9" start="0" length="0">
      <dxf>
        <numFmt numFmtId="3" formatCode="#,##0"/>
      </dxf>
    </rfmt>
    <rfmt sheetId="20" sqref="Z10" start="0" length="0">
      <dxf>
        <numFmt numFmtId="3" formatCode="#,##0"/>
      </dxf>
    </rfmt>
    <rfmt sheetId="20" sqref="Z11" start="0" length="0">
      <dxf>
        <numFmt numFmtId="3" formatCode="#,##0"/>
      </dxf>
    </rfmt>
    <rfmt sheetId="20" sqref="Z12" start="0" length="0">
      <dxf>
        <numFmt numFmtId="3" formatCode="#,##0"/>
      </dxf>
    </rfmt>
    <rfmt sheetId="20" sqref="Z13" start="0" length="0">
      <dxf>
        <numFmt numFmtId="3" formatCode="#,##0"/>
      </dxf>
    </rfmt>
    <rfmt sheetId="20" sqref="Z14" start="0" length="0">
      <dxf>
        <numFmt numFmtId="3" formatCode="#,##0"/>
      </dxf>
    </rfmt>
    <rfmt sheetId="20" sqref="Z15" start="0" length="0">
      <dxf>
        <numFmt numFmtId="3" formatCode="#,##0"/>
      </dxf>
    </rfmt>
    <rfmt sheetId="20" sqref="Z16" start="0" length="0">
      <dxf>
        <numFmt numFmtId="3" formatCode="#,##0"/>
      </dxf>
    </rfmt>
    <rfmt sheetId="20" sqref="Z17" start="0" length="0">
      <dxf>
        <numFmt numFmtId="3" formatCode="#,##0"/>
      </dxf>
    </rfmt>
  </rm>
  <rcc rId="512" sId="20" numFmtId="4">
    <nc r="W4">
      <f>'P:\DSP\DSG\Q1 2021\[Raport Q1 2021.xlsx]Kanały dystryb. 2020 '!$B$11+'P:\DSP\DSG\Q1 2021\[Raport Q1 2021.xlsx]Kanały dystryb. 2020 '!$B$24</f>
    </nc>
  </rcc>
  <rcc rId="513" sId="20" numFmtId="4">
    <nc r="W5">
      <f>'P:\DSP\DSG\Q1 2021\[Raport Q1 2021.xlsx]Kanały dystryb. 2020 '!$B$12+'P:\DSP\DSG\Q1 2021\[Raport Q1 2021.xlsx]Kanały dystryb. 2020 '!$B$25</f>
    </nc>
  </rcc>
  <rcc rId="514" sId="20" numFmtId="4">
    <nc r="W6">
      <f>'P:\DSP\DSG\Q1 2021\[Raport Q1 2021.xlsx]Kanały dystryb. 2020 '!$B$13+'P:\DSP\DSG\Q1 2021\[Raport Q1 2021.xlsx]Kanały dystryb. 2020 '!$B$26</f>
    </nc>
  </rcc>
  <rcc rId="515" sId="20">
    <nc r="W7">
      <f>'P:\DSP\DSG\Q1 2021\[Robocze 1Q 2021 20.04.xlsx]karty+ATM'!$Z$4/1000</f>
    </nc>
  </rcc>
  <rcc rId="516" sId="20">
    <nc r="W8">
      <f>'P:\DSP\DSG\Q1 2021\[Robocze 1Q 2021 20.04.xlsx]karty+ATM'!$Z$30/1000</f>
    </nc>
  </rcc>
  <rcc rId="517" sId="20" numFmtId="4">
    <nc r="W17">
      <f>'P:\DSP\DSG\Q1 2021\[Robocze 1Q 2021 20.04.xlsx]Arkusz1'!$F$47</f>
    </nc>
  </rcc>
  <rcc rId="518" sId="20">
    <nc r="W10">
      <f>'P:\DSP\DSG\Q1 2021\[Robocze 1Q 2021 20.04.xlsx]karty+ATM'!$Z$26/1000</f>
    </nc>
  </rcc>
  <rcc rId="519" sId="20" numFmtId="4">
    <nc r="W11">
      <f>'P:\DSP\DSG\Q1 2021\[Raport Q1 2021.xlsx]Kanały dystryb. 2020 '!$B$3+'P:\DSP\DSG\Q1 2021\[Raport Q1 2021.xlsx]Kanały dystryb. 2020 '!$B$20</f>
    </nc>
  </rcc>
  <rcc rId="520" sId="20" numFmtId="4">
    <nc r="W12">
      <f>'P:\DSP\DSG\Q1 2021\[Raport Q1 2021.xlsx]Kanały dystryb. 2020 '!$B$6+'P:\DSP\DSG\Q1 2021\[Raport Q1 2021.xlsx]Kanały dystryb. 2020 '!$B$21</f>
    </nc>
  </rcc>
  <rcc rId="521" sId="20" numFmtId="4">
    <nc r="W14">
      <f>'P:\DSP\DSG\Q1 2021\[Robocze 1Q 2021 20.04.xlsx]karty+ATM'!$Z$16</f>
    </nc>
  </rcc>
  <rcc rId="522" sId="20" numFmtId="4">
    <nc r="W15">
      <f>'P:\DSP\DSG\Q1 2021\[Robocze 1Q 2021 20.04.xlsx]ETATY'!$D$19</f>
    </nc>
  </rcc>
  <rcc rId="523" sId="20" numFmtId="19">
    <nc r="W3">
      <v>44286</v>
    </nc>
  </rcc>
  <rcc rId="524" sId="20" numFmtId="4">
    <oc r="W4">
      <f>'P:\DSP\DSG\Q1 2021\[Raport Q1 2021.xlsx]Kanały dystryb. 2020 '!$B$11+'P:\DSP\DSG\Q1 2021\[Raport Q1 2021.xlsx]Kanały dystryb. 2020 '!$B$24</f>
    </oc>
    <nc r="W4">
      <v>5451</v>
    </nc>
  </rcc>
  <rcc rId="525" sId="20" numFmtId="4">
    <oc r="W5">
      <f>'P:\DSP\DSG\Q1 2021\[Raport Q1 2021.xlsx]Kanały dystryb. 2020 '!$B$12+'P:\DSP\DSG\Q1 2021\[Raport Q1 2021.xlsx]Kanały dystryb. 2020 '!$B$25</f>
    </oc>
    <nc r="W5">
      <v>2996</v>
    </nc>
  </rcc>
  <rcc rId="526" sId="20" numFmtId="4">
    <oc r="W6">
      <f>'P:\DSP\DSG\Q1 2021\[Raport Q1 2021.xlsx]Kanały dystryb. 2020 '!$B$13+'P:\DSP\DSG\Q1 2021\[Raport Q1 2021.xlsx]Kanały dystryb. 2020 '!$B$26</f>
    </oc>
    <nc r="W6">
      <v>2021</v>
    </nc>
  </rcc>
  <rcc rId="527" sId="20" numFmtId="4">
    <oc r="W7">
      <f>'P:\DSP\DSG\Q1 2021\[Robocze 1Q 2021 20.04.xlsx]karty+ATM'!$Z$4/1000</f>
    </oc>
    <nc r="W7">
      <v>4305</v>
    </nc>
  </rcc>
  <rcc rId="528" sId="20" numFmtId="4">
    <oc r="W8">
      <f>'P:\DSP\DSG\Q1 2021\[Robocze 1Q 2021 20.04.xlsx]karty+ATM'!$Z$30/1000</f>
    </oc>
    <nc r="W8">
      <v>1160</v>
    </nc>
  </rcc>
  <rcc rId="529" sId="20" numFmtId="4">
    <nc r="W9">
      <v>7083</v>
    </nc>
  </rcc>
  <rcc rId="530" sId="20" numFmtId="4">
    <oc r="W10">
      <f>'P:\DSP\DSG\Q1 2021\[Robocze 1Q 2021 20.04.xlsx]karty+ATM'!$Z$26/1000</f>
    </oc>
    <nc r="W10">
      <v>4885</v>
    </nc>
  </rcc>
  <rcc rId="531" sId="20" numFmtId="4">
    <oc r="W11">
      <f>'P:\DSP\DSG\Q1 2021\[Raport Q1 2021.xlsx]Kanały dystryb. 2020 '!$B$3+'P:\DSP\DSG\Q1 2021\[Raport Q1 2021.xlsx]Kanały dystryb. 2020 '!$B$20</f>
    </oc>
    <nc r="W11">
      <v>495</v>
    </nc>
  </rcc>
  <rcc rId="532" sId="20" numFmtId="4">
    <oc r="W12">
      <f>'P:\DSP\DSG\Q1 2021\[Raport Q1 2021.xlsx]Kanały dystryb. 2020 '!$B$6+'P:\DSP\DSG\Q1 2021\[Raport Q1 2021.xlsx]Kanały dystryb. 2020 '!$B$21</f>
    </oc>
    <nc r="W12">
      <v>413</v>
    </nc>
  </rcc>
  <rcc rId="533" sId="20" numFmtId="4">
    <nc r="W13">
      <v>12</v>
    </nc>
  </rcc>
  <rcc rId="534" sId="20" numFmtId="4">
    <oc r="W14">
      <f>'P:\DSP\DSG\Q1 2021\[Robocze 1Q 2021 20.04.xlsx]karty+ATM'!$Z$16</f>
    </oc>
    <nc r="W14">
      <v>1638</v>
    </nc>
  </rcc>
  <rcc rId="535" sId="20" numFmtId="4">
    <oc r="W15">
      <f>'P:\DSP\DSG\Q1 2021\[Robocze 1Q 2021 20.04.xlsx]ETATY'!$D$19</f>
    </oc>
    <nc r="W15">
      <v>12063</v>
    </nc>
  </rcc>
  <rcc rId="536" sId="20" numFmtId="19">
    <oc r="W16">
      <f>W3</f>
    </oc>
    <nc r="W16">
      <v>44286</v>
    </nc>
  </rcc>
  <rcc rId="537" sId="20" numFmtId="4">
    <oc r="W17">
      <f>'P:\DSP\DSG\Q1 2021\[Robocze 1Q 2021 20.04.xlsx]Arkusz1'!$F$47</f>
    </oc>
    <nc r="W17">
      <v>17933020</v>
    </nc>
  </rcc>
  <rfmt sheetId="18" sqref="L4" start="0" length="0">
    <dxf>
      <font>
        <sz val="8"/>
        <color auto="1"/>
        <name val="Open Sans"/>
        <scheme val="none"/>
      </font>
      <numFmt numFmtId="171" formatCode="#,##0.0"/>
      <alignment horizontal="right" vertical="top" readingOrder="0"/>
      <border outline="0">
        <bottom style="dotted">
          <color rgb="FF6F7779"/>
        </bottom>
      </border>
    </dxf>
  </rfmt>
  <rfmt sheetId="18" sqref="L5" start="0" length="0">
    <dxf>
      <font>
        <sz val="8"/>
        <color auto="1"/>
        <name val="Open Sans"/>
        <scheme val="none"/>
      </font>
      <numFmt numFmtId="172" formatCode="_(###,##0.0_);_(\(###,##0.0\);_(* &quot;-&quot;_);_(@_)"/>
      <alignment horizontal="right" vertical="top" readingOrder="0"/>
      <border outline="0">
        <top style="dotted">
          <color rgb="FF6F7779"/>
        </top>
      </border>
    </dxf>
  </rfmt>
  <rfmt sheetId="18" sqref="L6" start="0" length="0">
    <dxf>
      <font>
        <b/>
        <sz val="8"/>
        <color auto="1"/>
        <name val="Open Sans"/>
        <scheme val="none"/>
      </font>
      <numFmt numFmtId="171" formatCode="#,##0.0"/>
      <alignment horizontal="right" vertical="top" readingOrder="0"/>
      <border outline="0">
        <top style="thin">
          <color rgb="FFC00000"/>
        </top>
        <bottom style="thin">
          <color rgb="FFC00000"/>
        </bottom>
      </border>
    </dxf>
  </rfmt>
  <rfmt sheetId="18" sqref="L7" start="0" length="0">
    <dxf>
      <font>
        <sz val="8"/>
        <color auto="1"/>
        <name val="Open Sans"/>
        <scheme val="none"/>
      </font>
      <numFmt numFmtId="171" formatCode="#,##0.0"/>
      <alignment horizontal="right" vertical="top" readingOrder="0"/>
      <border outline="0">
        <bottom style="dotted">
          <color rgb="FF6F7779"/>
        </bottom>
      </border>
    </dxf>
  </rfmt>
  <rfmt sheetId="18" sqref="L8" start="0" length="0">
    <dxf>
      <font>
        <sz val="8"/>
        <color auto="1"/>
        <name val="Open Sans"/>
        <scheme val="none"/>
      </font>
      <numFmt numFmtId="172" formatCode="_(###,##0.0_);_(\(###,##0.0\);_(* &quot;-&quot;_);_(@_)"/>
      <alignment horizontal="right" vertical="top" readingOrder="0"/>
      <border outline="0">
        <top style="dotted">
          <color rgb="FF6F7779"/>
        </top>
      </border>
    </dxf>
  </rfmt>
  <rfmt sheetId="18" sqref="L9" start="0" length="0">
    <dxf>
      <font>
        <b/>
        <sz val="8"/>
        <color auto="1"/>
        <name val="Open Sans"/>
        <scheme val="none"/>
      </font>
      <numFmt numFmtId="171" formatCode="#,##0.0"/>
      <alignment horizontal="right" vertical="top" readingOrder="0"/>
      <border outline="0">
        <top style="thin">
          <color rgb="FFC00000"/>
        </top>
        <bottom style="thin">
          <color rgb="FFC00000"/>
        </bottom>
      </border>
    </dxf>
  </rfmt>
  <rfmt sheetId="18" sqref="L10" start="0" length="0">
    <dxf>
      <font>
        <sz val="8"/>
        <color auto="1"/>
        <name val="Open Sans"/>
        <scheme val="none"/>
      </font>
      <numFmt numFmtId="171" formatCode="#,##0.0"/>
      <alignment horizontal="right" vertical="top" readingOrder="0"/>
      <border outline="0">
        <bottom style="dotted">
          <color rgb="FF6F7779"/>
        </bottom>
      </border>
    </dxf>
  </rfmt>
  <rfmt sheetId="18" sqref="L11" start="0" length="0">
    <dxf>
      <font>
        <sz val="8"/>
        <color auto="1"/>
        <name val="Open Sans"/>
        <scheme val="none"/>
      </font>
      <numFmt numFmtId="172" formatCode="_(###,##0.0_);_(\(###,##0.0\);_(* &quot;-&quot;_);_(@_)"/>
      <alignment horizontal="right" vertical="top" readingOrder="0"/>
      <border outline="0">
        <top style="dotted">
          <color rgb="FF6F7779"/>
        </top>
      </border>
    </dxf>
  </rfmt>
  <rfmt sheetId="18" sqref="L12" start="0" length="0">
    <dxf>
      <font>
        <b/>
        <sz val="8"/>
        <color auto="1"/>
        <name val="Open Sans"/>
        <scheme val="none"/>
      </font>
      <numFmt numFmtId="171" formatCode="#,##0.0"/>
      <alignment horizontal="right" vertical="top" readingOrder="0"/>
      <border outline="0">
        <top style="thin">
          <color rgb="FFC00000"/>
        </top>
        <bottom style="thin">
          <color rgb="FFC00000"/>
        </bottom>
      </border>
    </dxf>
  </rfmt>
  <rfmt sheetId="18" sqref="L13" start="0" length="0">
    <dxf>
      <font>
        <sz val="8"/>
        <color auto="1"/>
        <name val="Open Sans"/>
        <scheme val="none"/>
      </font>
      <numFmt numFmtId="171" formatCode="#,##0.0"/>
      <alignment horizontal="right" vertical="top" readingOrder="0"/>
      <border outline="0">
        <bottom style="dotted">
          <color rgb="FF6F7779"/>
        </bottom>
      </border>
    </dxf>
  </rfmt>
  <rfmt sheetId="18" sqref="L14" start="0" length="0">
    <dxf>
      <font>
        <sz val="8"/>
        <color auto="1"/>
        <name val="Open Sans"/>
        <scheme val="none"/>
      </font>
      <numFmt numFmtId="172" formatCode="_(###,##0.0_);_(\(###,##0.0\);_(* &quot;-&quot;_);_(@_)"/>
      <alignment horizontal="right" vertical="top" readingOrder="0"/>
      <border outline="0">
        <top style="dotted">
          <color rgb="FF6F7779"/>
        </top>
        <bottom style="medium">
          <color rgb="FFC00000"/>
        </bottom>
      </border>
    </dxf>
  </rfmt>
  <rfmt sheetId="18" sqref="L15" start="0" length="0">
    <dxf>
      <font>
        <b/>
        <sz val="8"/>
        <color auto="1"/>
        <name val="Open Sans"/>
        <scheme val="none"/>
      </font>
      <numFmt numFmtId="171" formatCode="#,##0.0"/>
      <alignment horizontal="right" vertical="top" readingOrder="0"/>
      <border outline="0">
        <bottom style="dotted">
          <color theme="0" tint="-0.499984740745262"/>
        </bottom>
      </border>
    </dxf>
  </rfmt>
  <rfmt sheetId="18" sqref="L16" start="0" length="0">
    <dxf>
      <font>
        <b/>
        <sz val="8"/>
        <color auto="1"/>
        <name val="Open Sans"/>
        <scheme val="none"/>
      </font>
      <numFmt numFmtId="172" formatCode="_(###,##0.0_);_(\(###,##0.0\);_(* &quot;-&quot;_);_(@_)"/>
      <alignment horizontal="right" vertical="top" readingOrder="0"/>
      <border outline="0">
        <top style="dotted">
          <color theme="0" tint="-0.499984740745262"/>
        </top>
      </border>
    </dxf>
  </rfmt>
  <rfmt sheetId="18" sqref="L17" start="0" length="0">
    <dxf>
      <font>
        <b/>
        <sz val="8"/>
        <color rgb="FFEC0000"/>
        <name val="Open Sans"/>
        <scheme val="none"/>
      </font>
      <numFmt numFmtId="171" formatCode="#,##0.0"/>
      <alignment horizontal="right" vertical="top" readingOrder="0"/>
      <border outline="0">
        <top style="thin">
          <color rgb="FFC00000"/>
        </top>
        <bottom style="medium">
          <color rgb="FFC00000"/>
        </bottom>
      </border>
    </dxf>
  </rfmt>
  <rfmt sheetId="18" sqref="L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cc rId="538" sId="18" numFmtId="19">
    <nc r="L2">
      <v>44286</v>
    </nc>
  </rcc>
  <rfmt sheetId="18" sqref="K3" start="0" length="0">
    <dxf>
      <font>
        <b/>
        <sz val="8"/>
        <color auto="1"/>
        <name val="Open Sans"/>
        <scheme val="none"/>
      </font>
      <border outline="0">
        <top style="medium">
          <color rgb="FFCC0000"/>
        </top>
        <bottom style="thin">
          <color rgb="FFC00000"/>
        </bottom>
      </border>
    </dxf>
  </rfmt>
  <rfmt sheetId="18" sqref="L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18" sqref="L4" start="0" length="0">
    <dxf>
      <numFmt numFmtId="165" formatCode="_(* #\ ###\ ##0_);_(* \(#\ ###\ ##0\);_(* &quot;-&quot;_);_(@_)"/>
    </dxf>
  </rfmt>
  <rfmt sheetId="18" sqref="L5" start="0" length="0">
    <dxf>
      <numFmt numFmtId="165" formatCode="_(* #\ ###\ ##0_);_(* \(#\ ###\ ##0\);_(* &quot;-&quot;_);_(@_)"/>
    </dxf>
  </rfmt>
  <rfmt sheetId="18" sqref="L6" start="0" length="0">
    <dxf>
      <numFmt numFmtId="165" formatCode="_(* #\ ###\ ##0_);_(* \(#\ ###\ ##0\);_(* &quot;-&quot;_);_(@_)"/>
    </dxf>
  </rfmt>
  <rfmt sheetId="18" sqref="L7" start="0" length="0">
    <dxf>
      <numFmt numFmtId="165" formatCode="_(* #\ ###\ ##0_);_(* \(#\ ###\ ##0\);_(* &quot;-&quot;_);_(@_)"/>
    </dxf>
  </rfmt>
  <rfmt sheetId="18" sqref="L8" start="0" length="0">
    <dxf>
      <numFmt numFmtId="165" formatCode="_(* #\ ###\ ##0_);_(* \(#\ ###\ ##0\);_(* &quot;-&quot;_);_(@_)"/>
    </dxf>
  </rfmt>
  <rfmt sheetId="18" sqref="L9" start="0" length="0">
    <dxf>
      <numFmt numFmtId="165" formatCode="_(* #\ ###\ ##0_);_(* \(#\ ###\ ##0\);_(* &quot;-&quot;_);_(@_)"/>
    </dxf>
  </rfmt>
  <rfmt sheetId="18" sqref="L10" start="0" length="0">
    <dxf>
      <numFmt numFmtId="165" formatCode="_(* #\ ###\ ##0_);_(* \(#\ ###\ ##0\);_(* &quot;-&quot;_);_(@_)"/>
    </dxf>
  </rfmt>
  <rfmt sheetId="18" sqref="L11" start="0" length="0">
    <dxf>
      <numFmt numFmtId="165" formatCode="_(* #\ ###\ ##0_);_(* \(#\ ###\ ##0\);_(* &quot;-&quot;_);_(@_)"/>
    </dxf>
  </rfmt>
  <rfmt sheetId="18" sqref="L12" start="0" length="0">
    <dxf>
      <numFmt numFmtId="165" formatCode="_(* #\ ###\ ##0_);_(* \(#\ ###\ ##0\);_(* &quot;-&quot;_);_(@_)"/>
    </dxf>
  </rfmt>
  <rfmt sheetId="18" sqref="L13" start="0" length="0">
    <dxf>
      <numFmt numFmtId="165" formatCode="_(* #\ ###\ ##0_);_(* \(#\ ###\ ##0\);_(* &quot;-&quot;_);_(@_)"/>
    </dxf>
  </rfmt>
  <rfmt sheetId="18" sqref="L14" start="0" length="0">
    <dxf>
      <numFmt numFmtId="165" formatCode="_(* #\ ###\ ##0_);_(* \(#\ ###\ ##0\);_(* &quot;-&quot;_);_(@_)"/>
    </dxf>
  </rfmt>
  <rcc rId="539" sId="18">
    <oc r="K15">
      <f>K4+K7+K10+K13</f>
    </oc>
    <nc r="K15">
      <f>K4+K7+K10+K13</f>
    </nc>
  </rcc>
  <rfmt sheetId="18" sqref="L15" start="0" length="0">
    <dxf>
      <numFmt numFmtId="165" formatCode="_(* #\ ###\ ##0_);_(* \(#\ ###\ ##0\);_(* &quot;-&quot;_);_(@_)"/>
    </dxf>
  </rfmt>
  <rcc rId="540" sId="18">
    <oc r="K16">
      <f>K5+K8+K11+K14</f>
    </oc>
    <nc r="K16">
      <f>K5+K8+K11+K14</f>
    </nc>
  </rcc>
  <rfmt sheetId="18" sqref="L16" start="0" length="0">
    <dxf>
      <numFmt numFmtId="165" formatCode="_(* #\ ###\ ##0_);_(* \(#\ ###\ ##0\);_(* &quot;-&quot;_);_(@_)"/>
    </dxf>
  </rfmt>
  <rfmt sheetId="18" sqref="L17" start="0" length="0">
    <dxf>
      <numFmt numFmtId="165" formatCode="_(* #\ ###\ ##0_);_(* \(#\ ###\ ##0\);_(* &quot;-&quot;_);_(@_)"/>
    </dxf>
  </rfmt>
  <rcc rId="541" sId="18" numFmtId="34">
    <nc r="L4">
      <v>129415832.50953101</v>
    </nc>
  </rcc>
  <rcc rId="542" sId="18" numFmtId="34">
    <nc r="L5">
      <v>-635467.57276999997</v>
    </nc>
  </rcc>
  <rcc rId="543" sId="18" numFmtId="34">
    <nc r="L7">
      <v>7616779.9461448202</v>
    </nc>
  </rcc>
  <rcc rId="544" sId="18" numFmtId="34">
    <nc r="L8">
      <v>-691011.08908280404</v>
    </nc>
  </rcc>
  <rcc rId="545" sId="18" numFmtId="34">
    <nc r="L10">
      <v>8049895.5058269901</v>
    </nc>
  </rcc>
  <rcc rId="546" sId="18" numFmtId="34">
    <nc r="L11">
      <v>-4778336.0544685796</v>
    </nc>
  </rcc>
  <rcc rId="547" sId="18" numFmtId="34">
    <nc r="L13">
      <v>697068.30700192996</v>
    </nc>
  </rcc>
  <rcc rId="548" sId="18" numFmtId="34">
    <nc r="L14">
      <v>-223129.14254321001</v>
    </nc>
  </rcc>
  <rcc rId="549" sId="18" numFmtId="34">
    <nc r="L15">
      <f>L4+L7+L10+L13</f>
    </nc>
  </rcc>
  <rcc rId="550" sId="18" numFmtId="34">
    <nc r="L16">
      <f>L5+L8+L11+L14</f>
    </nc>
  </rcc>
  <rcc rId="551" sId="18">
    <oc r="K17">
      <f>SUM(K15:K16)</f>
    </oc>
    <nc r="K17">
      <f>SUM(K15:K16)</f>
    </nc>
  </rcc>
  <rcc rId="552" sId="18" numFmtId="34">
    <nc r="L17">
      <f>SUM(L15:L16)</f>
    </nc>
  </rcc>
  <rcv guid="{12F8D032-8143-430B-8DFF-852E8796C402}" action="delete"/>
  <rdn rId="0" localSheetId="2" customView="1" name="Z_12F8D032_8143_430B_8DFF_852E8796C402_.wvu.PrintArea" hidden="1" oldHidden="1">
    <formula>BS!$A$1:$P$50</formula>
    <oldFormula>BS!$A$1:$P$50</oldFormula>
  </rdn>
  <rdn rId="0" localSheetId="13"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1" sqref="T1" start="0" length="0">
    <dxf>
      <font>
        <b/>
        <sz val="8"/>
        <color rgb="FFCC0000"/>
        <name val="Open Sans"/>
        <scheme val="none"/>
      </font>
      <alignment horizontal="right" vertical="center" wrapText="1" readingOrder="0"/>
      <border outline="0">
        <bottom style="medium">
          <color rgb="FFCC0000"/>
        </bottom>
      </border>
    </dxf>
  </rfmt>
  <rfmt sheetId="17" s="1" sqref="T2" start="0" length="0">
    <dxf>
      <font>
        <sz val="8"/>
        <color auto="1"/>
        <name val="Open Sans"/>
        <scheme val="none"/>
      </font>
      <alignment vertical="center" readingOrder="0"/>
      <border outline="0">
        <top style="dotted">
          <color rgb="FF6F7779"/>
        </top>
      </border>
    </dxf>
  </rfmt>
  <rfmt sheetId="17" s="1" sqref="T3"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7" s="1" sqref="T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7" s="1" sqref="T5"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6"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7"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8"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9"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10"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11"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12"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13"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T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7" s="1" sqref="T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7" s="1" sqref="T16" start="0" length="0">
    <dxf>
      <font>
        <sz val="8"/>
        <color auto="1"/>
        <name val="Open Sans"/>
        <scheme val="none"/>
      </font>
      <numFmt numFmtId="4" formatCode="#,##0.00"/>
      <alignment vertical="center" readingOrder="0"/>
      <border outline="0">
        <bottom style="medium">
          <color rgb="FFCC0000"/>
        </bottom>
      </border>
    </dxf>
  </rfmt>
  <rcc rId="555" sId="17">
    <nc r="T1" t="inlineStr">
      <is>
        <t>Q1 2021</t>
      </is>
    </nc>
  </rcc>
  <rfmt sheetId="17" sqref="T2" start="0" length="0">
    <dxf>
      <fill>
        <patternFill patternType="solid">
          <bgColor rgb="FFDEEDF2"/>
        </patternFill>
      </fill>
    </dxf>
  </rfmt>
  <rfmt sheetId="17" sqref="T3" start="0" length="0">
    <dxf>
      <fill>
        <patternFill patternType="solid">
          <bgColor rgb="FFDEEDF2"/>
        </patternFill>
      </fill>
    </dxf>
  </rfmt>
  <rfmt sheetId="17" sqref="T4" start="0" length="0">
    <dxf>
      <fill>
        <patternFill patternType="solid">
          <bgColor rgb="FFDEEDF2"/>
        </patternFill>
      </fill>
    </dxf>
  </rfmt>
  <rfmt sheetId="17" sqref="T5" start="0" length="0">
    <dxf>
      <fill>
        <patternFill>
          <bgColor rgb="FFDEEDF2"/>
        </patternFill>
      </fill>
    </dxf>
  </rfmt>
  <rfmt sheetId="17" sqref="T6" start="0" length="0">
    <dxf>
      <fill>
        <patternFill>
          <bgColor rgb="FFDEEDF2"/>
        </patternFill>
      </fill>
    </dxf>
  </rfmt>
  <rfmt sheetId="17" sqref="T7" start="0" length="0">
    <dxf>
      <fill>
        <patternFill>
          <bgColor rgb="FFDEEDF2"/>
        </patternFill>
      </fill>
    </dxf>
  </rfmt>
  <rfmt sheetId="17" sqref="T8" start="0" length="0">
    <dxf>
      <fill>
        <patternFill>
          <bgColor rgb="FFDEEDF2"/>
        </patternFill>
      </fill>
    </dxf>
  </rfmt>
  <rfmt sheetId="17" sqref="T9" start="0" length="0">
    <dxf>
      <fill>
        <patternFill>
          <bgColor rgb="FFDEEDF2"/>
        </patternFill>
      </fill>
    </dxf>
  </rfmt>
  <rfmt sheetId="17" sqref="T10" start="0" length="0">
    <dxf>
      <fill>
        <patternFill>
          <bgColor rgb="FFDEEDF2"/>
        </patternFill>
      </fill>
    </dxf>
  </rfmt>
  <rfmt sheetId="17" sqref="T11" start="0" length="0">
    <dxf>
      <fill>
        <patternFill>
          <bgColor rgb="FFDEEDF2"/>
        </patternFill>
      </fill>
    </dxf>
  </rfmt>
  <rfmt sheetId="17" sqref="T12" start="0" length="0">
    <dxf>
      <fill>
        <patternFill>
          <bgColor rgb="FFDEEDF2"/>
        </patternFill>
      </fill>
    </dxf>
  </rfmt>
  <rfmt sheetId="17" sqref="T13" start="0" length="0">
    <dxf>
      <fill>
        <patternFill>
          <bgColor rgb="FFDEEDF2"/>
        </patternFill>
      </fill>
    </dxf>
  </rfmt>
  <rfmt sheetId="17" sqref="T14" start="0" length="0">
    <dxf>
      <fill>
        <patternFill patternType="solid">
          <bgColor rgb="FFDEEDF2"/>
        </patternFill>
      </fill>
    </dxf>
  </rfmt>
  <rfmt sheetId="17" sqref="T15" start="0" length="0">
    <dxf>
      <fill>
        <patternFill patternType="solid">
          <bgColor rgb="FFDEEDF2"/>
        </patternFill>
      </fill>
    </dxf>
  </rfmt>
  <rfmt sheetId="17" sqref="T16" start="0" length="0">
    <dxf>
      <fill>
        <patternFill patternType="solid">
          <bgColor rgb="FFDEEDF2"/>
        </patternFill>
      </fill>
      <alignment wrapText="1" readingOrder="0"/>
    </dxf>
  </rfmt>
  <rcc rId="556" sId="17" numFmtId="14">
    <nc r="T2">
      <v>0.59599999999999997</v>
    </nc>
  </rcc>
  <rcc rId="557" sId="17" numFmtId="14">
    <nc r="T3">
      <v>0.64800000000000002</v>
    </nc>
  </rcc>
  <rcc rId="558" sId="17" numFmtId="14">
    <nc r="T4">
      <v>2.5600000000000001E-2</v>
    </nc>
  </rcc>
  <rcc rId="559" sId="17" numFmtId="14">
    <nc r="T5">
      <v>0.28799999999999998</v>
    </nc>
  </rcc>
  <rcc rId="560" sId="17" numFmtId="14">
    <nc r="T6">
      <v>0.79700000000000004</v>
    </nc>
  </rcc>
  <rcc rId="561" sId="17" numFmtId="14">
    <nc r="T7">
      <v>0.06</v>
    </nc>
  </rcc>
  <rcc rId="562" sId="17" numFmtId="14">
    <nc r="T8">
      <v>0.57199999999999995</v>
    </nc>
  </rcc>
  <rcc rId="563" sId="17" numFmtId="14">
    <nc r="T9">
      <v>1.14E-2</v>
    </nc>
  </rcc>
  <rcc rId="564" sId="17" numFmtId="14">
    <nc r="T10">
      <v>4.1000000000000002E-2</v>
    </nc>
  </rcc>
  <rcc rId="565" sId="17" numFmtId="14">
    <nc r="T11">
      <v>0.05</v>
    </nc>
  </rcc>
  <rcc rId="566" sId="17" numFmtId="14">
    <nc r="T12">
      <v>4.0000000000000001E-3</v>
    </nc>
  </rcc>
  <rcc rId="567" sId="17" numFmtId="14">
    <nc r="T13">
      <v>0.2089</v>
    </nc>
  </rcc>
  <rcc rId="568" sId="17" numFmtId="14">
    <nc r="T14">
      <v>0.18870000000000001</v>
    </nc>
  </rcc>
  <rcc rId="569" sId="17" numFmtId="4">
    <nc r="T15">
      <v>284.64999999999998</v>
    </nc>
  </rcc>
  <rcc rId="570" sId="17" numFmtId="4">
    <nc r="T16">
      <v>1.49</v>
    </nc>
  </rcc>
  <rfmt sheetId="17" sqref="T2:T16">
    <dxf>
      <fill>
        <patternFill patternType="none">
          <bgColor auto="1"/>
        </patternFill>
      </fill>
    </dxf>
  </rfmt>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71" sId="20" ref="Z1:Z1048576" action="deleteCol">
    <rfmt sheetId="20" xfDxf="1" s="1" sqref="Z1:Z1048576" start="0" length="0">
      <dxf>
        <font>
          <b val="0"/>
          <i val="0"/>
          <strike val="0"/>
          <condense val="0"/>
          <extend val="0"/>
          <outline val="0"/>
          <shadow val="0"/>
          <u val="none"/>
          <vertAlign val="baseline"/>
          <sz val="11"/>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20" dxf="1">
      <nc r="Z4" t="inlineStr">
        <is>
          <r>
            <t xml:space="preserve">Klienci bankowości elektronicznej </t>
          </r>
          <r>
            <rPr>
              <vertAlign val="superscript"/>
              <sz val="7"/>
              <color theme="1"/>
              <rFont val="Open Sans"/>
              <family val="2"/>
              <charset val="238"/>
            </rPr>
            <t>1)</t>
          </r>
        </is>
      </nc>
      <ndxf>
        <font>
          <sz val="7"/>
          <name val="Open Sans"/>
          <scheme val="none"/>
        </font>
        <fill>
          <patternFill patternType="solid">
            <bgColor rgb="FFFFFFFF"/>
          </patternFill>
        </fill>
        <alignment horizontal="left" vertical="center" wrapText="1" readingOrder="0"/>
      </ndxf>
    </rcc>
    <rcc rId="0" sId="20" dxf="1">
      <nc r="Z5" t="inlineStr">
        <is>
          <r>
            <rPr>
              <sz val="7"/>
              <color theme="1"/>
              <rFont val="Open Sans"/>
              <family val="2"/>
              <charset val="238"/>
            </rPr>
            <t xml:space="preserve">Aktywni klienci cyfrowi </t>
          </r>
          <r>
            <rPr>
              <vertAlign val="superscript"/>
              <sz val="7"/>
              <color theme="1"/>
              <rFont val="Open Sans"/>
              <family val="2"/>
              <charset val="238"/>
            </rPr>
            <t>2)</t>
          </r>
        </is>
      </nc>
      <ndxf>
        <font>
          <vertAlign val="superscript"/>
          <sz val="7"/>
          <name val="Open Sans"/>
          <scheme val="none"/>
        </font>
        <fill>
          <patternFill patternType="solid">
            <bgColor rgb="FFFFFFFF"/>
          </patternFill>
        </fill>
        <alignment horizontal="left" vertical="center" wrapText="1" readingOrder="0"/>
      </ndxf>
    </rcc>
    <rcc rId="0" sId="20" dxf="1">
      <nc r="Z6" t="inlineStr">
        <is>
          <t xml:space="preserve">Aktywni klienci bankowości mobilnej </t>
        </is>
      </nc>
      <ndxf>
        <font>
          <sz val="7"/>
          <name val="Open Sans"/>
          <scheme val="none"/>
        </font>
        <fill>
          <patternFill patternType="solid">
            <bgColor rgb="FFFFFFFF"/>
          </patternFill>
        </fill>
        <alignment horizontal="left" vertical="center" wrapText="1" readingOrder="0"/>
      </ndxf>
    </rcc>
    <rcc rId="0" sId="20" dxf="1">
      <nc r="Z7" t="inlineStr">
        <is>
          <t xml:space="preserve">Karty płatnicze debetowe </t>
        </is>
      </nc>
      <ndxf>
        <font>
          <sz val="7"/>
          <name val="Open Sans"/>
          <scheme val="none"/>
        </font>
        <fill>
          <patternFill patternType="solid">
            <bgColor rgb="FFFFFFFF"/>
          </patternFill>
        </fill>
        <alignment horizontal="left" vertical="center" wrapText="1" readingOrder="0"/>
        <border outline="0">
          <top style="thin">
            <color rgb="FFCC0000"/>
          </top>
        </border>
      </ndxf>
    </rcc>
    <rcc rId="0" sId="20" dxf="1">
      <nc r="Z8" t="inlineStr">
        <is>
          <t xml:space="preserve">Karty płatnicze kredytowe </t>
        </is>
      </nc>
      <ndxf>
        <font>
          <sz val="7"/>
          <name val="Open Sans"/>
          <scheme val="none"/>
        </font>
        <fill>
          <patternFill patternType="solid">
            <bgColor rgb="FFFFFFFF"/>
          </patternFill>
        </fill>
        <alignment horizontal="left" vertical="center" wrapText="1" readingOrder="0"/>
        <border outline="0">
          <bottom style="thin">
            <color rgb="FFCC0000"/>
          </bottom>
        </border>
      </ndxf>
    </rcc>
    <rcc rId="0" sId="20" dxf="1">
      <nc r="Z9" t="inlineStr">
        <is>
          <t xml:space="preserve">Baza klientów  </t>
        </is>
      </nc>
      <ndxf>
        <font>
          <sz val="7"/>
          <name val="Open Sans"/>
          <scheme val="none"/>
        </font>
        <fill>
          <patternFill patternType="solid">
            <bgColor rgb="FFFFFFFF"/>
          </patternFill>
        </fill>
        <alignment horizontal="left" vertical="center" wrapText="1" readingOrder="0"/>
      </ndxf>
    </rcc>
    <rcc rId="0" sId="20" dxf="1">
      <nc r="Z10" t="inlineStr">
        <is>
          <t>Liczba kont osobistych (złotowe i walutowe)</t>
        </is>
      </nc>
      <ndxf>
        <font>
          <sz val="7"/>
          <name val="Open Sans"/>
          <scheme val="none"/>
        </font>
        <fill>
          <patternFill patternType="solid">
            <bgColor rgb="FFFFFFFF"/>
          </patternFill>
        </fill>
        <alignment horizontal="left" vertical="center" wrapText="1" readingOrder="0"/>
        <border outline="0">
          <bottom style="thin">
            <color rgb="FFC00000"/>
          </bottom>
        </border>
      </ndxf>
    </rcc>
    <rcc rId="0" sId="20" dxf="1">
      <nc r="Z11" t="inlineStr">
        <is>
          <t xml:space="preserve">Sieć oddziałów  </t>
        </is>
      </nc>
      <ndxf>
        <font>
          <sz val="7"/>
          <name val="Open Sans"/>
          <scheme val="none"/>
        </font>
        <fill>
          <patternFill patternType="solid">
            <bgColor rgb="FFFFFFFF"/>
          </patternFill>
        </fill>
        <alignment horizontal="left" vertical="center" wrapText="1" readingOrder="0"/>
      </ndxf>
    </rcc>
    <rcc rId="0" sId="20" dxf="1">
      <nc r="Z12" t="inlineStr">
        <is>
          <t xml:space="preserve">Placówki partnerskie </t>
        </is>
      </nc>
      <ndxf>
        <font>
          <sz val="7"/>
          <name val="Open Sans"/>
          <scheme val="none"/>
        </font>
        <fill>
          <patternFill patternType="solid">
            <bgColor rgb="FFFFFFFF"/>
          </patternFill>
        </fill>
        <alignment horizontal="left" vertical="center" wrapText="1" readingOrder="0"/>
      </ndxf>
    </rcc>
    <rcc rId="0" sId="20" dxf="1">
      <nc r="Z13" t="inlineStr">
        <is>
          <r>
            <t>Stanowiska zewnętrzne i Strefy Santander</t>
          </r>
          <r>
            <rPr>
              <vertAlign val="superscript"/>
              <sz val="7"/>
              <color theme="1"/>
              <rFont val="Open Sans"/>
              <family val="2"/>
              <charset val="238"/>
            </rPr>
            <t xml:space="preserve"> 3)</t>
          </r>
        </is>
      </nc>
      <ndxf>
        <font>
          <sz val="7"/>
          <name val="Open Sans"/>
          <scheme val="none"/>
        </font>
        <fill>
          <patternFill patternType="solid">
            <bgColor rgb="FFFFFFFF"/>
          </patternFill>
        </fill>
        <alignment horizontal="left" vertical="center" wrapText="1" readingOrder="0"/>
      </ndxf>
    </rcc>
    <rcc rId="0" sId="20" dxf="1">
      <nc r="Z14" t="inlineStr">
        <is>
          <t xml:space="preserve">Bankomaty, wpłatomaty, urządzenia dualne </t>
        </is>
      </nc>
      <ndxf>
        <font>
          <sz val="7"/>
          <name val="Open Sans"/>
          <scheme val="none"/>
        </font>
        <fill>
          <patternFill patternType="solid">
            <bgColor rgb="FFFFFFFF"/>
          </patternFill>
        </fill>
        <alignment horizontal="left" vertical="center" wrapText="1" readingOrder="0"/>
        <border outline="0">
          <bottom style="thin">
            <color rgb="FFC00000"/>
          </bottom>
        </border>
      </ndxf>
    </rcc>
    <rcc rId="0" sId="20" dxf="1">
      <nc r="Z15" t="inlineStr">
        <is>
          <r>
            <t xml:space="preserve">Zatrudnienie </t>
          </r>
          <r>
            <rPr>
              <vertAlign val="superscript"/>
              <sz val="7"/>
              <color theme="1"/>
              <rFont val="Open Sans"/>
              <family val="2"/>
              <charset val="238"/>
            </rPr>
            <t>4)</t>
          </r>
        </is>
      </nc>
      <ndxf>
        <font>
          <sz val="7"/>
          <name val="Open Sans"/>
          <scheme val="none"/>
        </font>
        <fill>
          <patternFill patternType="solid">
            <bgColor rgb="FFFFFFFF"/>
          </patternFill>
        </fill>
        <alignment horizontal="left" vertical="center" wrapText="1" readingOrder="0"/>
        <border outline="0">
          <top style="thin">
            <color rgb="FFC00000"/>
          </top>
          <bottom style="thin">
            <color rgb="FFC00000"/>
          </bottom>
        </border>
      </ndxf>
    </rcc>
    <rcc rId="0" sId="20" dxf="1">
      <nc r="Z16" t="inlineStr">
        <is>
          <t xml:space="preserve">Wybrane dane pozabilansowe </t>
        </is>
      </nc>
      <ndxf>
        <font>
          <b/>
          <sz val="7"/>
          <color rgb="FFC00000"/>
          <name val="Open Sans"/>
          <scheme val="none"/>
        </font>
        <fill>
          <patternFill patternType="solid">
            <bgColor rgb="FFFFFFFF"/>
          </patternFill>
        </fill>
        <alignment vertical="center" wrapText="1" readingOrder="0"/>
        <border outline="0">
          <bottom style="medium">
            <color rgb="FFCC0000"/>
          </bottom>
        </border>
      </ndxf>
    </rcc>
    <rcc rId="0" sId="20" dxf="1">
      <nc r="Z17" t="inlineStr">
        <is>
          <r>
            <t xml:space="preserve">Aktywa netto funduszy inwestycyjnych </t>
          </r>
          <r>
            <rPr>
              <vertAlign val="superscript"/>
              <sz val="7"/>
              <color theme="1"/>
              <rFont val="Open Sans"/>
              <family val="2"/>
              <charset val="238"/>
            </rPr>
            <t>5)</t>
          </r>
        </is>
      </nc>
      <ndxf>
        <font>
          <sz val="7"/>
          <name val="Open Sans"/>
          <scheme val="none"/>
        </font>
        <fill>
          <patternFill patternType="solid">
            <bgColor rgb="FFFFFFFF"/>
          </patternFill>
        </fill>
        <alignment horizontal="left" vertical="top" wrapText="1" readingOrder="0"/>
        <border outline="0">
          <bottom style="thin">
            <color rgb="FFCC0000"/>
          </bottom>
        </border>
      </ndxf>
    </rcc>
  </rr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2" sId="20">
    <nc r="X17">
      <f>W17/V17-1</f>
    </nc>
  </rcc>
  <rcc rId="573" sId="20">
    <nc r="Y17">
      <f>W17/S17-1</f>
    </nc>
  </rcc>
  <rfmt sheetId="20" sqref="X17:Y17">
    <dxf>
      <numFmt numFmtId="13" formatCode="0%"/>
    </dxf>
  </rfmt>
  <rfmt sheetId="20" sqref="X17:Y17">
    <dxf>
      <numFmt numFmtId="168" formatCode="0.0%"/>
    </dxf>
  </rfmt>
  <rcc rId="574" sId="20" numFmtId="4">
    <oc r="W9">
      <v>7083</v>
    </oc>
    <nc r="W9">
      <v>7017</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5" sId="20">
    <oc r="X17">
      <f>W17/V17-1</f>
    </oc>
    <nc r="X17"/>
  </rcc>
  <rcc rId="576" sId="20">
    <oc r="Y17">
      <f>W17/S17-1</f>
    </oc>
    <nc r="Y17"/>
  </rcc>
  <rcv guid="{12F8D032-8143-430B-8DFF-852E8796C402}" action="delete"/>
  <rdn rId="0" localSheetId="2" customView="1" name="Z_12F8D032_8143_430B_8DFF_852E8796C402_.wvu.PrintArea" hidden="1" oldHidden="1">
    <formula>BS!$A$1:$P$50</formula>
    <oldFormula>BS!$A$1:$P$50</oldFormula>
  </rdn>
  <rdn rId="0" localSheetId="13" customView="1" name="Z_12F8D032_8143_430B_8DFF_852E8796C402_.wvu.Cols" hidden="1" oldHidden="1">
    <formula>'Aktywa i zobow. fin. do obrotu'!$M:$P</formula>
    <oldFormula>'Aktywa i zobow. fin. do obrotu'!$M:$P</oldFormula>
  </rdn>
  <rcv guid="{12F8D032-8143-430B-8DFF-852E8796C402}"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3">
  <userInfo guid="{701A33A1-7CDC-4033-9926-D11DE53F1A58}" name="Słaba Dorota" id="-399757506" dateTime="2021-04-26T00:27:43"/>
  <userInfo guid="{5FB82F09-FFE9-45EB-80D0-853C843A9657}" name="Słaba Dorota" id="-399723369" dateTime="2021-04-26T09:03:38"/>
  <userInfo guid="{F6F02852-8CFA-4447-B7ED-40B76ADC92E8}" name="Dowżycka Agnieszka" id="-96006342" dateTime="2021-04-28T08:05:59"/>
</user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79.bin"/><Relationship Id="rId3" Type="http://schemas.openxmlformats.org/officeDocument/2006/relationships/printerSettings" Target="../printerSettings/printerSettings74.bin"/><Relationship Id="rId7" Type="http://schemas.openxmlformats.org/officeDocument/2006/relationships/printerSettings" Target="../printerSettings/printerSettings78.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90.bin"/><Relationship Id="rId3" Type="http://schemas.openxmlformats.org/officeDocument/2006/relationships/printerSettings" Target="../printerSettings/printerSettings85.bin"/><Relationship Id="rId7" Type="http://schemas.openxmlformats.org/officeDocument/2006/relationships/printerSettings" Target="../printerSettings/printerSettings89.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tabSelected="1" zoomScaleNormal="68" workbookViewId="0">
      <pane xSplit="1" ySplit="1" topLeftCell="B2" activePane="bottomRight" state="frozen"/>
      <selection pane="topRight" activeCell="B1" sqref="B1"/>
      <selection pane="bottomLeft" activeCell="A2" sqref="A2"/>
      <selection pane="bottomRight" activeCell="O36" sqref="O36"/>
    </sheetView>
  </sheetViews>
  <sheetFormatPr defaultColWidth="9.140625" defaultRowHeight="14.25"/>
  <cols>
    <col min="1" max="2" width="50.85546875" style="6" customWidth="1"/>
    <col min="3" max="10" width="13.42578125" style="6" hidden="1" customWidth="1"/>
    <col min="11" max="11" width="13.42578125" style="6" customWidth="1"/>
    <col min="12" max="16" width="13.42578125" style="29" customWidth="1"/>
    <col min="17" max="19" width="15.5703125" style="29" customWidth="1"/>
    <col min="20" max="20" width="15.140625" style="453" customWidth="1"/>
    <col min="21" max="21" width="11.5703125" style="453" bestFit="1" customWidth="1"/>
    <col min="22" max="22" width="13.42578125" style="29" bestFit="1" customWidth="1"/>
    <col min="23" max="23" width="10.140625" style="29" bestFit="1" customWidth="1"/>
    <col min="24" max="27" width="9.140625" style="29"/>
    <col min="28" max="16384" width="9.140625" style="6"/>
  </cols>
  <sheetData>
    <row r="1" spans="1:23" ht="17.25" customHeight="1" thickBot="1">
      <c r="A1" s="4" t="s">
        <v>87</v>
      </c>
      <c r="B1" s="4" t="s">
        <v>0</v>
      </c>
      <c r="C1" s="5" t="s">
        <v>115</v>
      </c>
      <c r="D1" s="5" t="s">
        <v>111</v>
      </c>
      <c r="E1" s="5" t="s">
        <v>116</v>
      </c>
      <c r="F1" s="5" t="s">
        <v>117</v>
      </c>
      <c r="G1" s="5" t="s">
        <v>118</v>
      </c>
      <c r="H1" s="5" t="s">
        <v>136</v>
      </c>
      <c r="I1" s="5" t="s">
        <v>137</v>
      </c>
      <c r="J1" s="5" t="s">
        <v>146</v>
      </c>
      <c r="K1" s="5" t="s">
        <v>155</v>
      </c>
      <c r="L1" s="5" t="s">
        <v>559</v>
      </c>
      <c r="M1" s="5" t="s">
        <v>593</v>
      </c>
      <c r="N1" s="5" t="s">
        <v>600</v>
      </c>
      <c r="O1" s="5" t="s">
        <v>637</v>
      </c>
      <c r="P1" s="5" t="s">
        <v>641</v>
      </c>
      <c r="Q1" s="5" t="s">
        <v>650</v>
      </c>
      <c r="R1" s="5" t="s">
        <v>661</v>
      </c>
      <c r="S1" s="5" t="s">
        <v>671</v>
      </c>
    </row>
    <row r="2" spans="1:23" ht="15" customHeight="1">
      <c r="A2" s="7" t="s">
        <v>149</v>
      </c>
      <c r="B2" s="345" t="s">
        <v>150</v>
      </c>
      <c r="C2" s="339">
        <v>1559802</v>
      </c>
      <c r="D2" s="339">
        <v>1620968</v>
      </c>
      <c r="E2" s="339">
        <v>1663808</v>
      </c>
      <c r="F2" s="339">
        <v>1684729</v>
      </c>
      <c r="G2" s="339">
        <v>1688501</v>
      </c>
      <c r="H2" s="339">
        <v>1736743</v>
      </c>
      <c r="I2" s="339">
        <v>1805709</v>
      </c>
      <c r="J2" s="339">
        <v>1982843</v>
      </c>
      <c r="K2" s="339">
        <v>2081699</v>
      </c>
      <c r="L2" s="339">
        <v>2116449</v>
      </c>
      <c r="M2" s="339">
        <v>2166156</v>
      </c>
      <c r="N2" s="339">
        <v>2097532</v>
      </c>
      <c r="O2" s="339">
        <v>2050090</v>
      </c>
      <c r="P2" s="339">
        <v>1758240</v>
      </c>
      <c r="Q2" s="339">
        <v>1548842</v>
      </c>
      <c r="R2" s="339">
        <v>1539580</v>
      </c>
      <c r="S2" s="339">
        <v>1492477</v>
      </c>
      <c r="T2" s="452"/>
    </row>
    <row r="3" spans="1:23" ht="28.5" customHeight="1">
      <c r="A3" s="8" t="s">
        <v>119</v>
      </c>
      <c r="B3" s="346" t="s">
        <v>123</v>
      </c>
      <c r="C3" s="340">
        <v>0</v>
      </c>
      <c r="D3" s="340">
        <v>0</v>
      </c>
      <c r="E3" s="340">
        <v>0</v>
      </c>
      <c r="F3" s="340">
        <v>0</v>
      </c>
      <c r="G3" s="340">
        <v>1487943</v>
      </c>
      <c r="H3" s="340">
        <v>1537794</v>
      </c>
      <c r="I3" s="340">
        <v>1584506</v>
      </c>
      <c r="J3" s="340">
        <v>1734889</v>
      </c>
      <c r="K3" s="340">
        <v>1821282</v>
      </c>
      <c r="L3" s="340">
        <v>1869671</v>
      </c>
      <c r="M3" s="340">
        <v>1923854</v>
      </c>
      <c r="N3" s="340">
        <v>1852731</v>
      </c>
      <c r="O3" s="340">
        <v>1816161</v>
      </c>
      <c r="P3" s="340">
        <v>1535340</v>
      </c>
      <c r="Q3" s="340">
        <v>1323301</v>
      </c>
      <c r="R3" s="340">
        <v>1311566</v>
      </c>
      <c r="S3" s="340">
        <v>1275781</v>
      </c>
      <c r="T3" s="452"/>
      <c r="U3" s="455"/>
      <c r="V3" s="456"/>
      <c r="W3" s="453"/>
    </row>
    <row r="4" spans="1:23" ht="28.5" customHeight="1">
      <c r="A4" s="8" t="s">
        <v>120</v>
      </c>
      <c r="B4" s="346" t="s">
        <v>124</v>
      </c>
      <c r="C4" s="340">
        <v>0</v>
      </c>
      <c r="D4" s="340">
        <v>0</v>
      </c>
      <c r="E4" s="340">
        <v>0</v>
      </c>
      <c r="F4" s="340">
        <v>0</v>
      </c>
      <c r="G4" s="340">
        <v>163239</v>
      </c>
      <c r="H4" s="340">
        <v>174832</v>
      </c>
      <c r="I4" s="340">
        <v>189226</v>
      </c>
      <c r="J4" s="340">
        <v>206081</v>
      </c>
      <c r="K4" s="340">
        <v>209674</v>
      </c>
      <c r="L4" s="340">
        <v>199210</v>
      </c>
      <c r="M4" s="340">
        <v>209193</v>
      </c>
      <c r="N4" s="340">
        <v>215747</v>
      </c>
      <c r="O4" s="340">
        <v>206593</v>
      </c>
      <c r="P4" s="340">
        <v>209592</v>
      </c>
      <c r="Q4" s="340">
        <v>219908</v>
      </c>
      <c r="R4" s="340">
        <v>217748</v>
      </c>
      <c r="S4" s="340">
        <v>213302</v>
      </c>
      <c r="T4" s="452"/>
      <c r="U4" s="455"/>
      <c r="V4" s="456"/>
      <c r="W4" s="455"/>
    </row>
    <row r="5" spans="1:23" ht="28.5" customHeight="1">
      <c r="A5" s="8" t="s">
        <v>121</v>
      </c>
      <c r="B5" s="346" t="s">
        <v>122</v>
      </c>
      <c r="C5" s="340">
        <v>0</v>
      </c>
      <c r="D5" s="340">
        <v>0</v>
      </c>
      <c r="E5" s="340">
        <v>0</v>
      </c>
      <c r="F5" s="340">
        <v>0</v>
      </c>
      <c r="G5" s="340">
        <v>37319</v>
      </c>
      <c r="H5" s="340">
        <v>24117</v>
      </c>
      <c r="I5" s="340">
        <v>31977</v>
      </c>
      <c r="J5" s="340">
        <v>41873</v>
      </c>
      <c r="K5" s="340">
        <v>50743</v>
      </c>
      <c r="L5" s="340">
        <v>47568</v>
      </c>
      <c r="M5" s="340">
        <v>33109</v>
      </c>
      <c r="N5" s="340">
        <v>29054</v>
      </c>
      <c r="O5" s="340">
        <v>27336</v>
      </c>
      <c r="P5" s="340">
        <v>13308</v>
      </c>
      <c r="Q5" s="340">
        <v>5633</v>
      </c>
      <c r="R5" s="340">
        <v>10266</v>
      </c>
      <c r="S5" s="340">
        <v>3394</v>
      </c>
      <c r="T5" s="452"/>
      <c r="U5" s="455"/>
      <c r="V5" s="456"/>
    </row>
    <row r="6" spans="1:23" ht="15" customHeight="1">
      <c r="A6" s="10" t="s">
        <v>88</v>
      </c>
      <c r="B6" s="347" t="s">
        <v>50</v>
      </c>
      <c r="C6" s="340">
        <v>-305806</v>
      </c>
      <c r="D6" s="340">
        <v>-318481</v>
      </c>
      <c r="E6" s="340">
        <v>-322842</v>
      </c>
      <c r="F6" s="340">
        <v>-305281</v>
      </c>
      <c r="G6" s="340">
        <v>-298675</v>
      </c>
      <c r="H6" s="340">
        <v>-340536</v>
      </c>
      <c r="I6" s="340">
        <v>-383490</v>
      </c>
      <c r="J6" s="340">
        <v>-448690</v>
      </c>
      <c r="K6" s="340">
        <v>-473099</v>
      </c>
      <c r="L6" s="340">
        <v>-492917</v>
      </c>
      <c r="M6" s="340">
        <v>-465122</v>
      </c>
      <c r="N6" s="340">
        <v>-450529</v>
      </c>
      <c r="O6" s="340">
        <v>-413777</v>
      </c>
      <c r="P6" s="340">
        <v>-299805</v>
      </c>
      <c r="Q6" s="340">
        <v>-166160</v>
      </c>
      <c r="R6" s="340">
        <v>-128861</v>
      </c>
      <c r="S6" s="340">
        <v>-115519</v>
      </c>
      <c r="T6" s="452"/>
    </row>
    <row r="7" spans="1:23" ht="15" customHeight="1">
      <c r="A7" s="11" t="s">
        <v>89</v>
      </c>
      <c r="B7" s="348" t="s">
        <v>1</v>
      </c>
      <c r="C7" s="341">
        <v>1253996</v>
      </c>
      <c r="D7" s="341">
        <v>1302487</v>
      </c>
      <c r="E7" s="341">
        <v>1340966</v>
      </c>
      <c r="F7" s="341">
        <v>1379448</v>
      </c>
      <c r="G7" s="341">
        <v>1389826</v>
      </c>
      <c r="H7" s="341">
        <v>1396207</v>
      </c>
      <c r="I7" s="341">
        <v>1422219</v>
      </c>
      <c r="J7" s="341">
        <v>1534153</v>
      </c>
      <c r="K7" s="341">
        <v>1608600</v>
      </c>
      <c r="L7" s="341">
        <v>1623532</v>
      </c>
      <c r="M7" s="341">
        <v>1701034</v>
      </c>
      <c r="N7" s="341">
        <v>1647003</v>
      </c>
      <c r="O7" s="341">
        <v>1636313</v>
      </c>
      <c r="P7" s="341">
        <v>1458435</v>
      </c>
      <c r="Q7" s="341">
        <v>1382682</v>
      </c>
      <c r="R7" s="341">
        <v>1410719</v>
      </c>
      <c r="S7" s="341">
        <v>1376958</v>
      </c>
      <c r="T7" s="452"/>
    </row>
    <row r="8" spans="1:23" ht="15" customHeight="1">
      <c r="A8" s="10" t="s">
        <v>90</v>
      </c>
      <c r="B8" s="347" t="s">
        <v>2</v>
      </c>
      <c r="C8" s="340">
        <v>571025</v>
      </c>
      <c r="D8" s="340">
        <v>607881</v>
      </c>
      <c r="E8" s="340">
        <v>654490</v>
      </c>
      <c r="F8" s="340">
        <v>642813</v>
      </c>
      <c r="G8" s="340">
        <v>603973</v>
      </c>
      <c r="H8" s="340">
        <v>649627</v>
      </c>
      <c r="I8" s="340">
        <v>608742</v>
      </c>
      <c r="J8" s="340">
        <v>664230</v>
      </c>
      <c r="K8" s="340">
        <v>629803</v>
      </c>
      <c r="L8" s="340">
        <v>661065</v>
      </c>
      <c r="M8" s="340">
        <v>662229</v>
      </c>
      <c r="N8" s="340">
        <v>694952</v>
      </c>
      <c r="O8" s="340">
        <v>661836</v>
      </c>
      <c r="P8" s="340">
        <v>603635</v>
      </c>
      <c r="Q8" s="340">
        <v>668754</v>
      </c>
      <c r="R8" s="340">
        <v>704582</v>
      </c>
      <c r="S8" s="340">
        <v>717493</v>
      </c>
      <c r="T8" s="452"/>
    </row>
    <row r="9" spans="1:23" ht="15" customHeight="1">
      <c r="A9" s="10" t="s">
        <v>91</v>
      </c>
      <c r="B9" s="347" t="s">
        <v>3</v>
      </c>
      <c r="C9" s="340">
        <v>-95832</v>
      </c>
      <c r="D9" s="340">
        <v>-112239</v>
      </c>
      <c r="E9" s="340">
        <v>-127585</v>
      </c>
      <c r="F9" s="340">
        <v>-127427</v>
      </c>
      <c r="G9" s="340">
        <v>-88859</v>
      </c>
      <c r="H9" s="340">
        <v>-119867</v>
      </c>
      <c r="I9" s="340">
        <v>-93092</v>
      </c>
      <c r="J9" s="340">
        <v>-166952</v>
      </c>
      <c r="K9" s="340">
        <v>-109741</v>
      </c>
      <c r="L9" s="340">
        <v>-138708</v>
      </c>
      <c r="M9" s="340">
        <v>-118182</v>
      </c>
      <c r="N9" s="340">
        <v>-153246</v>
      </c>
      <c r="O9" s="340">
        <v>-123592</v>
      </c>
      <c r="P9" s="340">
        <v>-111804</v>
      </c>
      <c r="Q9" s="340">
        <v>-116024</v>
      </c>
      <c r="R9" s="340">
        <v>-135281</v>
      </c>
      <c r="S9" s="340">
        <v>-106219</v>
      </c>
      <c r="T9" s="452"/>
    </row>
    <row r="10" spans="1:23" ht="15" customHeight="1">
      <c r="A10" s="11" t="s">
        <v>55</v>
      </c>
      <c r="B10" s="348" t="s">
        <v>4</v>
      </c>
      <c r="C10" s="341">
        <v>475193</v>
      </c>
      <c r="D10" s="341">
        <v>495642</v>
      </c>
      <c r="E10" s="341">
        <v>526905</v>
      </c>
      <c r="F10" s="341">
        <v>515386</v>
      </c>
      <c r="G10" s="341">
        <v>515114</v>
      </c>
      <c r="H10" s="341">
        <v>529760</v>
      </c>
      <c r="I10" s="341">
        <v>515650</v>
      </c>
      <c r="J10" s="341">
        <v>497278</v>
      </c>
      <c r="K10" s="341">
        <v>520062</v>
      </c>
      <c r="L10" s="341">
        <v>522357</v>
      </c>
      <c r="M10" s="341">
        <v>544047</v>
      </c>
      <c r="N10" s="341">
        <v>541706</v>
      </c>
      <c r="O10" s="341">
        <v>538244</v>
      </c>
      <c r="P10" s="341">
        <v>491831</v>
      </c>
      <c r="Q10" s="341">
        <v>552730</v>
      </c>
      <c r="R10" s="341">
        <v>569301</v>
      </c>
      <c r="S10" s="341">
        <v>611274</v>
      </c>
      <c r="T10" s="452"/>
    </row>
    <row r="11" spans="1:23" ht="15" customHeight="1">
      <c r="A11" s="10" t="s">
        <v>92</v>
      </c>
      <c r="B11" s="347" t="s">
        <v>5</v>
      </c>
      <c r="C11" s="340">
        <v>345</v>
      </c>
      <c r="D11" s="340">
        <v>75579</v>
      </c>
      <c r="E11" s="340">
        <v>712</v>
      </c>
      <c r="F11" s="340">
        <v>180</v>
      </c>
      <c r="G11" s="340">
        <v>185</v>
      </c>
      <c r="H11" s="340">
        <v>98323</v>
      </c>
      <c r="I11" s="340">
        <v>1353</v>
      </c>
      <c r="J11" s="340">
        <v>255</v>
      </c>
      <c r="K11" s="340">
        <v>247</v>
      </c>
      <c r="L11" s="340">
        <v>96993</v>
      </c>
      <c r="M11" s="340">
        <v>1468</v>
      </c>
      <c r="N11" s="340">
        <v>513</v>
      </c>
      <c r="O11" s="340">
        <v>349</v>
      </c>
      <c r="P11" s="340">
        <v>20322</v>
      </c>
      <c r="Q11" s="340">
        <v>1825</v>
      </c>
      <c r="R11" s="340">
        <v>387</v>
      </c>
      <c r="S11" s="340">
        <v>852</v>
      </c>
      <c r="T11" s="452"/>
    </row>
    <row r="12" spans="1:23" ht="15" customHeight="1">
      <c r="A12" s="10" t="s">
        <v>93</v>
      </c>
      <c r="B12" s="347" t="s">
        <v>6</v>
      </c>
      <c r="C12" s="340">
        <v>55858</v>
      </c>
      <c r="D12" s="340">
        <v>36228</v>
      </c>
      <c r="E12" s="340">
        <v>55567</v>
      </c>
      <c r="F12" s="340">
        <v>47321</v>
      </c>
      <c r="G12" s="340">
        <v>-1083</v>
      </c>
      <c r="H12" s="340">
        <v>69249</v>
      </c>
      <c r="I12" s="340">
        <v>60451</v>
      </c>
      <c r="J12" s="340">
        <v>15922</v>
      </c>
      <c r="K12" s="340">
        <v>48432</v>
      </c>
      <c r="L12" s="340">
        <v>30201</v>
      </c>
      <c r="M12" s="340">
        <v>63780</v>
      </c>
      <c r="N12" s="340">
        <v>73136</v>
      </c>
      <c r="O12" s="340">
        <v>6303</v>
      </c>
      <c r="P12" s="340">
        <v>58612</v>
      </c>
      <c r="Q12" s="340">
        <v>28321</v>
      </c>
      <c r="R12" s="340">
        <v>57273</v>
      </c>
      <c r="S12" s="340">
        <v>71031</v>
      </c>
      <c r="T12" s="452"/>
    </row>
    <row r="13" spans="1:23" ht="15" customHeight="1">
      <c r="A13" s="10" t="s">
        <v>94</v>
      </c>
      <c r="B13" s="347" t="s">
        <v>7</v>
      </c>
      <c r="C13" s="340">
        <v>17177</v>
      </c>
      <c r="D13" s="340">
        <v>10770</v>
      </c>
      <c r="E13" s="340">
        <v>3962</v>
      </c>
      <c r="F13" s="340">
        <v>15593</v>
      </c>
      <c r="G13" s="340">
        <v>3927</v>
      </c>
      <c r="H13" s="340">
        <v>16900</v>
      </c>
      <c r="I13" s="340">
        <v>29449</v>
      </c>
      <c r="J13" s="340">
        <v>-12796</v>
      </c>
      <c r="K13" s="340">
        <v>32855</v>
      </c>
      <c r="L13" s="340">
        <v>61896</v>
      </c>
      <c r="M13" s="340">
        <v>42341</v>
      </c>
      <c r="N13" s="340">
        <v>48383</v>
      </c>
      <c r="O13" s="340">
        <v>26486</v>
      </c>
      <c r="P13" s="340">
        <v>27056</v>
      </c>
      <c r="Q13" s="340">
        <v>128102</v>
      </c>
      <c r="R13" s="340">
        <v>76068</v>
      </c>
      <c r="S13" s="340">
        <v>26791</v>
      </c>
      <c r="T13" s="452"/>
    </row>
    <row r="14" spans="1:23" ht="14.45" customHeight="1">
      <c r="A14" s="10" t="s">
        <v>109</v>
      </c>
      <c r="B14" s="347" t="s">
        <v>54</v>
      </c>
      <c r="C14" s="340">
        <v>3757</v>
      </c>
      <c r="D14" s="340">
        <v>0</v>
      </c>
      <c r="E14" s="340">
        <v>0</v>
      </c>
      <c r="F14" s="340">
        <v>0</v>
      </c>
      <c r="G14" s="340">
        <v>-65</v>
      </c>
      <c r="H14" s="340">
        <v>0</v>
      </c>
      <c r="I14" s="340">
        <v>0</v>
      </c>
      <c r="J14" s="340">
        <v>0</v>
      </c>
      <c r="K14" s="340">
        <v>0</v>
      </c>
      <c r="L14" s="340">
        <v>0</v>
      </c>
      <c r="M14" s="340">
        <v>0</v>
      </c>
      <c r="N14" s="340">
        <v>0</v>
      </c>
      <c r="O14" s="340">
        <v>0</v>
      </c>
      <c r="P14" s="340">
        <v>0</v>
      </c>
      <c r="Q14" s="340">
        <v>0</v>
      </c>
      <c r="R14" s="340">
        <v>0</v>
      </c>
      <c r="S14" s="340">
        <v>0</v>
      </c>
      <c r="T14" s="452"/>
    </row>
    <row r="15" spans="1:23" ht="15" customHeight="1">
      <c r="A15" s="10" t="s">
        <v>95</v>
      </c>
      <c r="B15" s="347" t="s">
        <v>8</v>
      </c>
      <c r="C15" s="340">
        <v>42340</v>
      </c>
      <c r="D15" s="340">
        <v>32204</v>
      </c>
      <c r="E15" s="340">
        <v>23671</v>
      </c>
      <c r="F15" s="340">
        <v>52372</v>
      </c>
      <c r="G15" s="340">
        <v>77448</v>
      </c>
      <c r="H15" s="340">
        <v>76421</v>
      </c>
      <c r="I15" s="340">
        <v>25814</v>
      </c>
      <c r="J15" s="340">
        <v>34159</v>
      </c>
      <c r="K15" s="340">
        <v>32270</v>
      </c>
      <c r="L15" s="340">
        <v>50602</v>
      </c>
      <c r="M15" s="340">
        <v>100791</v>
      </c>
      <c r="N15" s="340">
        <v>69832</v>
      </c>
      <c r="O15" s="340">
        <v>40816</v>
      </c>
      <c r="P15" s="340">
        <v>25724</v>
      </c>
      <c r="Q15" s="340">
        <v>40773</v>
      </c>
      <c r="R15" s="340">
        <v>68666</v>
      </c>
      <c r="S15" s="340">
        <v>37817</v>
      </c>
      <c r="T15" s="452"/>
    </row>
    <row r="16" spans="1:23" ht="15" customHeight="1">
      <c r="A16" s="10" t="s">
        <v>153</v>
      </c>
      <c r="B16" s="347" t="s">
        <v>154</v>
      </c>
      <c r="C16" s="340"/>
      <c r="D16" s="340"/>
      <c r="E16" s="340"/>
      <c r="F16" s="340"/>
      <c r="G16" s="340">
        <v>0</v>
      </c>
      <c r="H16" s="340">
        <v>0</v>
      </c>
      <c r="I16" s="340">
        <v>0</v>
      </c>
      <c r="J16" s="340">
        <v>419295</v>
      </c>
      <c r="K16" s="340">
        <v>0</v>
      </c>
      <c r="L16" s="340">
        <v>0</v>
      </c>
      <c r="M16" s="340">
        <v>0</v>
      </c>
      <c r="N16" s="340">
        <v>0</v>
      </c>
      <c r="O16" s="340">
        <v>0</v>
      </c>
      <c r="P16" s="340">
        <v>0</v>
      </c>
      <c r="Q16" s="340">
        <v>0</v>
      </c>
      <c r="R16" s="340">
        <v>0</v>
      </c>
      <c r="S16" s="340">
        <v>0</v>
      </c>
      <c r="T16" s="452"/>
    </row>
    <row r="17" spans="1:27" ht="15" customHeight="1">
      <c r="A17" s="10" t="s">
        <v>139</v>
      </c>
      <c r="B17" s="347" t="s">
        <v>9</v>
      </c>
      <c r="C17" s="340">
        <v>-145512</v>
      </c>
      <c r="D17" s="340">
        <v>-100366</v>
      </c>
      <c r="E17" s="340">
        <v>-231653</v>
      </c>
      <c r="F17" s="340">
        <v>-212942</v>
      </c>
      <c r="G17" s="340">
        <v>-203364</v>
      </c>
      <c r="H17" s="340">
        <v>-257876</v>
      </c>
      <c r="I17" s="340">
        <v>-253665</v>
      </c>
      <c r="J17" s="340">
        <v>-370163</v>
      </c>
      <c r="K17" s="340">
        <v>-262688</v>
      </c>
      <c r="L17" s="340">
        <v>-356558</v>
      </c>
      <c r="M17" s="340">
        <v>-336556</v>
      </c>
      <c r="N17" s="340">
        <v>-263551</v>
      </c>
      <c r="O17" s="340">
        <v>-466300</v>
      </c>
      <c r="P17" s="340">
        <v>-480919</v>
      </c>
      <c r="Q17" s="340">
        <v>-358898</v>
      </c>
      <c r="R17" s="340">
        <v>-456695</v>
      </c>
      <c r="S17" s="340">
        <v>-363079</v>
      </c>
      <c r="T17" s="452"/>
    </row>
    <row r="18" spans="1:27" ht="15" customHeight="1">
      <c r="A18" s="10" t="s">
        <v>308</v>
      </c>
      <c r="B18" s="347" t="s">
        <v>10</v>
      </c>
      <c r="C18" s="340">
        <v>-865972</v>
      </c>
      <c r="D18" s="340">
        <v>-828582</v>
      </c>
      <c r="E18" s="340">
        <v>-807694</v>
      </c>
      <c r="F18" s="340">
        <v>-870166</v>
      </c>
      <c r="G18" s="340">
        <v>-971151</v>
      </c>
      <c r="H18" s="340">
        <v>-915827</v>
      </c>
      <c r="I18" s="340">
        <v>-916628</v>
      </c>
      <c r="J18" s="340">
        <v>-965363</v>
      </c>
      <c r="K18" s="340">
        <v>-1236233</v>
      </c>
      <c r="L18" s="340">
        <v>-1016451</v>
      </c>
      <c r="M18" s="340">
        <v>-982177</v>
      </c>
      <c r="N18" s="340">
        <v>-1231429</v>
      </c>
      <c r="O18" s="340">
        <v>-1265327</v>
      </c>
      <c r="P18" s="340">
        <v>-963782</v>
      </c>
      <c r="Q18" s="340">
        <v>-929893</v>
      </c>
      <c r="R18" s="340">
        <v>-1328984</v>
      </c>
      <c r="S18" s="340">
        <v>-1266609</v>
      </c>
      <c r="T18" s="452"/>
    </row>
    <row r="19" spans="1:27" s="15" customFormat="1" ht="15" customHeight="1">
      <c r="A19" s="13" t="s">
        <v>140</v>
      </c>
      <c r="B19" s="349" t="s">
        <v>141</v>
      </c>
      <c r="C19" s="342">
        <v>-763710</v>
      </c>
      <c r="D19" s="342">
        <v>-734087</v>
      </c>
      <c r="E19" s="342">
        <v>-686366</v>
      </c>
      <c r="F19" s="342">
        <v>-755269</v>
      </c>
      <c r="G19" s="342">
        <v>-862454</v>
      </c>
      <c r="H19" s="342">
        <v>-751413</v>
      </c>
      <c r="I19" s="342">
        <v>-800454</v>
      </c>
      <c r="J19" s="342">
        <v>-828437</v>
      </c>
      <c r="K19" s="342">
        <v>-1056859</v>
      </c>
      <c r="L19" s="342">
        <v>-813201</v>
      </c>
      <c r="M19" s="342">
        <v>-789211</v>
      </c>
      <c r="N19" s="342">
        <v>-766961</v>
      </c>
      <c r="O19" s="342">
        <v>-1021684</v>
      </c>
      <c r="P19" s="342">
        <v>-667015</v>
      </c>
      <c r="Q19" s="342">
        <v>-729211</v>
      </c>
      <c r="R19" s="342">
        <v>-844631</v>
      </c>
      <c r="S19" s="342">
        <v>-871867</v>
      </c>
      <c r="T19" s="452"/>
      <c r="U19" s="454"/>
      <c r="V19" s="30"/>
      <c r="W19" s="30"/>
      <c r="X19" s="30"/>
      <c r="Y19" s="30"/>
      <c r="Z19" s="30"/>
      <c r="AA19" s="30"/>
    </row>
    <row r="20" spans="1:27" s="15" customFormat="1" ht="27" customHeight="1">
      <c r="A20" s="13" t="s">
        <v>160</v>
      </c>
      <c r="B20" s="349" t="s">
        <v>11</v>
      </c>
      <c r="C20" s="342">
        <v>-74269</v>
      </c>
      <c r="D20" s="342">
        <v>-77840</v>
      </c>
      <c r="E20" s="342">
        <v>-82167</v>
      </c>
      <c r="F20" s="342">
        <v>-84657</v>
      </c>
      <c r="G20" s="342">
        <v>-82536</v>
      </c>
      <c r="H20" s="342">
        <v>-79866</v>
      </c>
      <c r="I20" s="342">
        <v>-82093</v>
      </c>
      <c r="J20" s="342">
        <v>-88975</v>
      </c>
      <c r="K20" s="342">
        <v>-99583</v>
      </c>
      <c r="L20" s="342">
        <v>-102806</v>
      </c>
      <c r="M20" s="342">
        <v>-103264</v>
      </c>
      <c r="N20" s="342">
        <v>-119571</v>
      </c>
      <c r="O20" s="342">
        <v>-99142</v>
      </c>
      <c r="P20" s="342">
        <v>-95630</v>
      </c>
      <c r="Q20" s="342">
        <v>-98185</v>
      </c>
      <c r="R20" s="342">
        <v>-112306</v>
      </c>
      <c r="S20" s="342">
        <v>-100660</v>
      </c>
      <c r="T20" s="452"/>
      <c r="U20" s="454"/>
      <c r="V20" s="30"/>
      <c r="W20" s="30"/>
      <c r="X20" s="30"/>
      <c r="Y20" s="30"/>
      <c r="Z20" s="30"/>
      <c r="AA20" s="30"/>
    </row>
    <row r="21" spans="1:27" s="15" customFormat="1" ht="12.6" customHeight="1">
      <c r="A21" s="13" t="s">
        <v>161</v>
      </c>
      <c r="B21" s="349" t="s">
        <v>162</v>
      </c>
      <c r="C21" s="342"/>
      <c r="D21" s="342"/>
      <c r="E21" s="342"/>
      <c r="F21" s="342"/>
      <c r="G21" s="342">
        <v>0</v>
      </c>
      <c r="H21" s="342">
        <v>0</v>
      </c>
      <c r="I21" s="342">
        <v>0</v>
      </c>
      <c r="J21" s="342">
        <v>0</v>
      </c>
      <c r="K21" s="342">
        <v>-52998</v>
      </c>
      <c r="L21" s="342">
        <v>-54412</v>
      </c>
      <c r="M21" s="342">
        <v>-54283</v>
      </c>
      <c r="N21" s="342">
        <v>-41258</v>
      </c>
      <c r="O21" s="342">
        <v>-53160</v>
      </c>
      <c r="P21" s="342">
        <v>-51080</v>
      </c>
      <c r="Q21" s="342">
        <v>-48048</v>
      </c>
      <c r="R21" s="342">
        <v>-36044</v>
      </c>
      <c r="S21" s="342">
        <v>-47267</v>
      </c>
      <c r="T21" s="452"/>
      <c r="U21" s="454"/>
      <c r="V21" s="30"/>
      <c r="W21" s="30"/>
      <c r="X21" s="30"/>
      <c r="Y21" s="30"/>
      <c r="Z21" s="30"/>
      <c r="AA21" s="30"/>
    </row>
    <row r="22" spans="1:27" s="15" customFormat="1" ht="15" customHeight="1">
      <c r="A22" s="13" t="s">
        <v>60</v>
      </c>
      <c r="B22" s="349" t="s">
        <v>12</v>
      </c>
      <c r="C22" s="342">
        <v>-27993</v>
      </c>
      <c r="D22" s="342">
        <v>-16655</v>
      </c>
      <c r="E22" s="342">
        <v>-39161</v>
      </c>
      <c r="F22" s="342">
        <v>-30240</v>
      </c>
      <c r="G22" s="342">
        <v>-26161</v>
      </c>
      <c r="H22" s="342">
        <v>-84548</v>
      </c>
      <c r="I22" s="342">
        <v>-34081</v>
      </c>
      <c r="J22" s="342">
        <v>-47951</v>
      </c>
      <c r="K22" s="342">
        <v>-26793</v>
      </c>
      <c r="L22" s="342">
        <v>-46032</v>
      </c>
      <c r="M22" s="342">
        <v>-35419</v>
      </c>
      <c r="N22" s="342">
        <v>-303639</v>
      </c>
      <c r="O22" s="342">
        <v>-91341</v>
      </c>
      <c r="P22" s="342">
        <v>-150057</v>
      </c>
      <c r="Q22" s="342">
        <v>-54449</v>
      </c>
      <c r="R22" s="342">
        <v>-336003</v>
      </c>
      <c r="S22" s="342">
        <v>-246815</v>
      </c>
      <c r="T22" s="452"/>
      <c r="U22" s="454"/>
      <c r="V22" s="30"/>
      <c r="W22" s="30"/>
      <c r="X22" s="30"/>
      <c r="Y22" s="30"/>
      <c r="Z22" s="30"/>
      <c r="AA22" s="30"/>
    </row>
    <row r="23" spans="1:27" ht="30" customHeight="1">
      <c r="A23" s="10" t="s">
        <v>110</v>
      </c>
      <c r="B23" s="347" t="s">
        <v>51</v>
      </c>
      <c r="C23" s="340">
        <v>8655</v>
      </c>
      <c r="D23" s="340">
        <v>15157</v>
      </c>
      <c r="E23" s="340">
        <v>14734</v>
      </c>
      <c r="F23" s="340">
        <v>19718</v>
      </c>
      <c r="G23" s="340">
        <v>10998</v>
      </c>
      <c r="H23" s="340">
        <v>14504</v>
      </c>
      <c r="I23" s="340">
        <v>16752</v>
      </c>
      <c r="J23" s="340">
        <v>20413</v>
      </c>
      <c r="K23" s="340">
        <v>14338</v>
      </c>
      <c r="L23" s="340">
        <v>15945</v>
      </c>
      <c r="M23" s="340">
        <v>18641</v>
      </c>
      <c r="N23" s="340">
        <v>18268</v>
      </c>
      <c r="O23" s="340">
        <v>16699</v>
      </c>
      <c r="P23" s="340">
        <v>20140</v>
      </c>
      <c r="Q23" s="340">
        <v>31620</v>
      </c>
      <c r="R23" s="340">
        <v>17901</v>
      </c>
      <c r="S23" s="340">
        <v>19451</v>
      </c>
      <c r="T23" s="452"/>
    </row>
    <row r="24" spans="1:27" ht="15" customHeight="1">
      <c r="A24" s="16" t="s">
        <v>101</v>
      </c>
      <c r="B24" s="350" t="s">
        <v>102</v>
      </c>
      <c r="C24" s="343">
        <v>-106392</v>
      </c>
      <c r="D24" s="343">
        <v>-108320</v>
      </c>
      <c r="E24" s="343">
        <v>-109373</v>
      </c>
      <c r="F24" s="343">
        <v>-113471</v>
      </c>
      <c r="G24" s="343">
        <v>-113444</v>
      </c>
      <c r="H24" s="343">
        <v>-119546</v>
      </c>
      <c r="I24" s="343">
        <v>-123515</v>
      </c>
      <c r="J24" s="343">
        <v>-143255</v>
      </c>
      <c r="K24" s="343">
        <v>-153693</v>
      </c>
      <c r="L24" s="343">
        <v>-151603</v>
      </c>
      <c r="M24" s="343">
        <v>-146433</v>
      </c>
      <c r="N24" s="343">
        <v>-147305</v>
      </c>
      <c r="O24" s="343">
        <v>-148629</v>
      </c>
      <c r="P24" s="343">
        <v>-152499</v>
      </c>
      <c r="Q24" s="343">
        <v>-147835</v>
      </c>
      <c r="R24" s="343">
        <v>-153040</v>
      </c>
      <c r="S24" s="343">
        <v>-152960</v>
      </c>
      <c r="T24" s="452"/>
    </row>
    <row r="25" spans="1:27" ht="15" customHeight="1">
      <c r="A25" s="11" t="s">
        <v>96</v>
      </c>
      <c r="B25" s="348" t="s">
        <v>13</v>
      </c>
      <c r="C25" s="341">
        <v>739445</v>
      </c>
      <c r="D25" s="341">
        <v>930799</v>
      </c>
      <c r="E25" s="341">
        <v>817797</v>
      </c>
      <c r="F25" s="341">
        <v>833439</v>
      </c>
      <c r="G25" s="341">
        <v>708391</v>
      </c>
      <c r="H25" s="341">
        <v>908115</v>
      </c>
      <c r="I25" s="341">
        <v>777880</v>
      </c>
      <c r="J25" s="341">
        <v>1029898</v>
      </c>
      <c r="K25" s="341">
        <v>604190</v>
      </c>
      <c r="L25" s="341">
        <v>876914</v>
      </c>
      <c r="M25" s="341">
        <v>1006936</v>
      </c>
      <c r="N25" s="341">
        <v>756556</v>
      </c>
      <c r="O25" s="341">
        <v>384954</v>
      </c>
      <c r="P25" s="341">
        <v>504920</v>
      </c>
      <c r="Q25" s="341">
        <v>729427</v>
      </c>
      <c r="R25" s="341">
        <v>261596</v>
      </c>
      <c r="S25" s="341">
        <v>361526</v>
      </c>
      <c r="T25" s="452"/>
    </row>
    <row r="26" spans="1:27" ht="15" customHeight="1">
      <c r="A26" s="17" t="s">
        <v>97</v>
      </c>
      <c r="B26" s="351" t="s">
        <v>14</v>
      </c>
      <c r="C26" s="343">
        <v>-212812</v>
      </c>
      <c r="D26" s="343">
        <v>-199737</v>
      </c>
      <c r="E26" s="343">
        <v>-188610</v>
      </c>
      <c r="F26" s="343">
        <v>-215548</v>
      </c>
      <c r="G26" s="343">
        <v>-180987</v>
      </c>
      <c r="H26" s="343">
        <v>-176520</v>
      </c>
      <c r="I26" s="343">
        <v>-201320</v>
      </c>
      <c r="J26" s="343">
        <v>-168312</v>
      </c>
      <c r="K26" s="343">
        <v>-191634</v>
      </c>
      <c r="L26" s="343">
        <v>-198989</v>
      </c>
      <c r="M26" s="343">
        <v>-227709</v>
      </c>
      <c r="N26" s="343">
        <v>-182156</v>
      </c>
      <c r="O26" s="343">
        <v>-152077</v>
      </c>
      <c r="P26" s="343">
        <v>-157779</v>
      </c>
      <c r="Q26" s="343">
        <v>-189459</v>
      </c>
      <c r="R26" s="343">
        <v>-144408</v>
      </c>
      <c r="S26" s="343">
        <v>-168668</v>
      </c>
      <c r="T26" s="452"/>
    </row>
    <row r="27" spans="1:27" ht="15" customHeight="1">
      <c r="A27" s="7" t="s">
        <v>98</v>
      </c>
      <c r="B27" s="345" t="s">
        <v>52</v>
      </c>
      <c r="C27" s="339">
        <v>526633</v>
      </c>
      <c r="D27" s="339">
        <v>731062</v>
      </c>
      <c r="E27" s="339">
        <v>629187</v>
      </c>
      <c r="F27" s="339">
        <v>617891</v>
      </c>
      <c r="G27" s="339">
        <v>527404</v>
      </c>
      <c r="H27" s="339">
        <v>731595</v>
      </c>
      <c r="I27" s="339">
        <v>576560</v>
      </c>
      <c r="J27" s="339">
        <v>861586</v>
      </c>
      <c r="K27" s="339">
        <v>412556</v>
      </c>
      <c r="L27" s="339">
        <v>677925</v>
      </c>
      <c r="M27" s="339">
        <v>779227</v>
      </c>
      <c r="N27" s="339">
        <v>574400</v>
      </c>
      <c r="O27" s="339">
        <v>232877</v>
      </c>
      <c r="P27" s="339">
        <v>347141</v>
      </c>
      <c r="Q27" s="339">
        <v>539968</v>
      </c>
      <c r="R27" s="339">
        <v>117188</v>
      </c>
      <c r="S27" s="339">
        <v>192858</v>
      </c>
      <c r="T27" s="452"/>
    </row>
    <row r="28" spans="1:27" ht="15" customHeight="1">
      <c r="A28" s="16" t="s">
        <v>99</v>
      </c>
      <c r="B28" s="350" t="s">
        <v>53</v>
      </c>
      <c r="C28" s="343"/>
      <c r="D28" s="343"/>
      <c r="E28" s="343"/>
      <c r="F28" s="343"/>
      <c r="G28" s="343"/>
      <c r="H28" s="343"/>
      <c r="I28" s="343"/>
      <c r="J28" s="343"/>
      <c r="K28" s="343"/>
      <c r="L28" s="343"/>
      <c r="M28" s="343"/>
      <c r="N28" s="343"/>
      <c r="O28" s="343"/>
      <c r="P28" s="343"/>
      <c r="Q28" s="343"/>
      <c r="R28" s="343"/>
      <c r="S28" s="343"/>
      <c r="T28" s="452"/>
    </row>
    <row r="29" spans="1:27" ht="15" customHeight="1">
      <c r="A29" s="10" t="s">
        <v>138</v>
      </c>
      <c r="B29" s="347" t="s">
        <v>142</v>
      </c>
      <c r="C29" s="340">
        <v>452461</v>
      </c>
      <c r="D29" s="340">
        <v>647914</v>
      </c>
      <c r="E29" s="340">
        <v>556427</v>
      </c>
      <c r="F29" s="340">
        <v>542511</v>
      </c>
      <c r="G29" s="340">
        <v>433933</v>
      </c>
      <c r="H29" s="340">
        <v>643810</v>
      </c>
      <c r="I29" s="340">
        <v>497466</v>
      </c>
      <c r="J29" s="340">
        <v>788145</v>
      </c>
      <c r="K29" s="340">
        <v>339007</v>
      </c>
      <c r="L29" s="340">
        <v>596465</v>
      </c>
      <c r="M29" s="340">
        <v>695841</v>
      </c>
      <c r="N29" s="340">
        <v>507034</v>
      </c>
      <c r="O29" s="340">
        <v>170934</v>
      </c>
      <c r="P29" s="340">
        <v>304853</v>
      </c>
      <c r="Q29" s="340">
        <v>479834</v>
      </c>
      <c r="R29" s="340">
        <v>81546</v>
      </c>
      <c r="S29" s="340">
        <v>151753</v>
      </c>
      <c r="T29" s="452"/>
    </row>
    <row r="30" spans="1:27" ht="15" customHeight="1">
      <c r="A30" s="18" t="s">
        <v>100</v>
      </c>
      <c r="B30" s="352" t="s">
        <v>15</v>
      </c>
      <c r="C30" s="344">
        <v>74172</v>
      </c>
      <c r="D30" s="344">
        <v>83148</v>
      </c>
      <c r="E30" s="344">
        <v>72760</v>
      </c>
      <c r="F30" s="344">
        <v>75380</v>
      </c>
      <c r="G30" s="344">
        <v>93471</v>
      </c>
      <c r="H30" s="344">
        <v>87785</v>
      </c>
      <c r="I30" s="344">
        <v>79094</v>
      </c>
      <c r="J30" s="344">
        <v>73441</v>
      </c>
      <c r="K30" s="484">
        <v>73549</v>
      </c>
      <c r="L30" s="484">
        <v>81460</v>
      </c>
      <c r="M30" s="484">
        <v>83386</v>
      </c>
      <c r="N30" s="484">
        <v>67366</v>
      </c>
      <c r="O30" s="484">
        <v>61943</v>
      </c>
      <c r="P30" s="484">
        <v>42288</v>
      </c>
      <c r="Q30" s="484">
        <v>60134</v>
      </c>
      <c r="R30" s="484">
        <v>35642</v>
      </c>
      <c r="S30" s="484">
        <v>41105</v>
      </c>
      <c r="T30" s="452"/>
    </row>
    <row r="31" spans="1:27" s="29" customFormat="1" ht="17.25" customHeight="1">
      <c r="M31" s="293"/>
      <c r="Q31" s="290"/>
      <c r="R31" s="290"/>
      <c r="S31" s="290"/>
      <c r="T31" s="453"/>
      <c r="U31" s="453"/>
    </row>
    <row r="32" spans="1:27">
      <c r="K32" s="29"/>
      <c r="M32" s="293"/>
      <c r="Q32" s="290"/>
      <c r="R32" s="290"/>
      <c r="S32" s="290"/>
    </row>
    <row r="33" spans="6:19">
      <c r="K33" s="29"/>
      <c r="M33" s="293"/>
      <c r="Q33" s="290"/>
      <c r="R33" s="290"/>
      <c r="S33" s="290"/>
    </row>
    <row r="34" spans="6:19">
      <c r="F34" s="450"/>
      <c r="G34" s="450"/>
      <c r="H34" s="450"/>
      <c r="I34" s="450"/>
      <c r="J34" s="450"/>
      <c r="K34" s="29"/>
      <c r="M34" s="293"/>
      <c r="Q34" s="290"/>
      <c r="R34" s="290"/>
      <c r="S34" s="290"/>
    </row>
    <row r="35" spans="6:19">
      <c r="N35" s="450"/>
    </row>
  </sheetData>
  <customSheetViews>
    <customSheetView guid="{2A0EA35A-7F53-4AD8-895C-C234D094A4A4}" hiddenColumns="1">
      <pane xSplit="1" ySplit="1" topLeftCell="B2" activePane="bottomRight" state="frozen"/>
      <selection pane="bottomRight" activeCell="O36" sqref="O36"/>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99D69CD-4B7E-42BC-9944-5BD922EB798C}" topLeftCell="K16">
      <selection activeCell="Q35" sqref="Q35"/>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25FAB884-5E17-4008-8139-33D910C7DEFE}" topLeftCell="C1">
      <selection activeCell="R13" sqref="R13"/>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687A4863-1825-4D63-B732-E76682E6DE4F}" scale="63" topLeftCell="C1">
      <selection activeCell="S1" sqref="B1:S1048576"/>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9AF4A83C-CF57-4B40-8A74-6A0EA6C2FE5C}" hiddenColumns="1" topLeftCell="B1">
      <selection activeCell="S12" sqref="S12"/>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12F8D032-8143-430B-8DFF-852E8796C402}" topLeftCell="E1">
      <selection activeCell="Q4" sqref="Q4"/>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zoomScaleNormal="100" workbookViewId="0">
      <selection activeCell="G25" sqref="G25"/>
    </sheetView>
  </sheetViews>
  <sheetFormatPr defaultColWidth="9.140625" defaultRowHeight="12.75"/>
  <cols>
    <col min="1" max="1" width="33.140625" style="97" customWidth="1"/>
    <col min="2" max="2" width="36.5703125" style="97" customWidth="1"/>
    <col min="3" max="15" width="12" style="97" customWidth="1"/>
    <col min="16" max="16384" width="9.140625" style="97"/>
  </cols>
  <sheetData>
    <row r="1" spans="1:15">
      <c r="A1" s="96" t="s">
        <v>309</v>
      </c>
      <c r="B1" s="96" t="s">
        <v>310</v>
      </c>
    </row>
    <row r="2" spans="1:15" ht="43.5" customHeight="1" thickBot="1">
      <c r="A2" s="98" t="s">
        <v>643</v>
      </c>
      <c r="B2" s="98" t="s">
        <v>644</v>
      </c>
      <c r="C2" s="99" t="s">
        <v>118</v>
      </c>
      <c r="D2" s="99" t="s">
        <v>136</v>
      </c>
      <c r="E2" s="99" t="s">
        <v>137</v>
      </c>
      <c r="F2" s="99" t="s">
        <v>146</v>
      </c>
      <c r="G2" s="99" t="s">
        <v>155</v>
      </c>
      <c r="H2" s="99" t="s">
        <v>559</v>
      </c>
      <c r="I2" s="99" t="s">
        <v>593</v>
      </c>
      <c r="J2" s="99" t="s">
        <v>600</v>
      </c>
      <c r="K2" s="99" t="s">
        <v>637</v>
      </c>
      <c r="L2" s="99" t="s">
        <v>641</v>
      </c>
      <c r="M2" s="99" t="s">
        <v>650</v>
      </c>
      <c r="N2" s="99" t="s">
        <v>661</v>
      </c>
      <c r="O2" s="99" t="s">
        <v>671</v>
      </c>
    </row>
    <row r="3" spans="1:15" ht="15" customHeight="1">
      <c r="A3" s="366" t="s">
        <v>311</v>
      </c>
      <c r="B3" s="366" t="s">
        <v>312</v>
      </c>
      <c r="C3" s="359">
        <f t="shared" ref="C3:I3" si="0">SUM(C4:C7)</f>
        <v>0</v>
      </c>
      <c r="D3" s="359">
        <f t="shared" si="0"/>
        <v>-67</v>
      </c>
      <c r="E3" s="359">
        <f t="shared" si="0"/>
        <v>-4</v>
      </c>
      <c r="F3" s="359">
        <f t="shared" si="0"/>
        <v>5</v>
      </c>
      <c r="G3" s="359">
        <f t="shared" si="0"/>
        <v>0</v>
      </c>
      <c r="H3" s="359">
        <f t="shared" si="0"/>
        <v>-2</v>
      </c>
      <c r="I3" s="359">
        <f t="shared" si="0"/>
        <v>-1</v>
      </c>
      <c r="J3" s="359">
        <f t="shared" ref="J3:O3" si="1">SUM(J4:J7)</f>
        <v>-25</v>
      </c>
      <c r="K3" s="359">
        <f t="shared" si="1"/>
        <v>-4</v>
      </c>
      <c r="L3" s="359">
        <f t="shared" si="1"/>
        <v>-3</v>
      </c>
      <c r="M3" s="359">
        <f t="shared" si="1"/>
        <v>3</v>
      </c>
      <c r="N3" s="359">
        <f t="shared" si="1"/>
        <v>-7</v>
      </c>
      <c r="O3" s="359">
        <f t="shared" si="1"/>
        <v>10</v>
      </c>
    </row>
    <row r="4" spans="1:15" ht="15" customHeight="1">
      <c r="A4" s="363" t="s">
        <v>325</v>
      </c>
      <c r="B4" s="363" t="s">
        <v>319</v>
      </c>
      <c r="C4" s="360">
        <v>0</v>
      </c>
      <c r="D4" s="360">
        <v>-67</v>
      </c>
      <c r="E4" s="360">
        <v>-4</v>
      </c>
      <c r="F4" s="360">
        <v>5</v>
      </c>
      <c r="G4" s="360">
        <v>0</v>
      </c>
      <c r="H4" s="360">
        <v>-2</v>
      </c>
      <c r="I4" s="360">
        <v>-1</v>
      </c>
      <c r="J4" s="360">
        <v>-25</v>
      </c>
      <c r="K4" s="360">
        <v>-4</v>
      </c>
      <c r="L4" s="360">
        <v>-3</v>
      </c>
      <c r="M4" s="360">
        <v>3</v>
      </c>
      <c r="N4" s="360">
        <v>-7</v>
      </c>
      <c r="O4" s="360">
        <v>10</v>
      </c>
    </row>
    <row r="5" spans="1:15" ht="15" customHeight="1">
      <c r="A5" s="363" t="s">
        <v>326</v>
      </c>
      <c r="B5" s="363" t="s">
        <v>320</v>
      </c>
      <c r="C5" s="360">
        <v>0</v>
      </c>
      <c r="D5" s="360">
        <v>0</v>
      </c>
      <c r="E5" s="360">
        <v>0</v>
      </c>
      <c r="F5" s="360">
        <v>0</v>
      </c>
      <c r="G5" s="360">
        <v>0</v>
      </c>
      <c r="H5" s="360">
        <v>0</v>
      </c>
      <c r="I5" s="360">
        <v>0</v>
      </c>
      <c r="J5" s="360">
        <v>0</v>
      </c>
      <c r="K5" s="360">
        <v>0</v>
      </c>
      <c r="L5" s="360">
        <v>0</v>
      </c>
      <c r="M5" s="360">
        <v>0</v>
      </c>
      <c r="N5" s="360">
        <v>0</v>
      </c>
      <c r="O5" s="360">
        <v>0</v>
      </c>
    </row>
    <row r="6" spans="1:15" ht="15" customHeight="1">
      <c r="A6" s="363" t="s">
        <v>327</v>
      </c>
      <c r="B6" s="363" t="s">
        <v>321</v>
      </c>
      <c r="C6" s="360">
        <v>0</v>
      </c>
      <c r="D6" s="360">
        <v>0</v>
      </c>
      <c r="E6" s="360">
        <v>0</v>
      </c>
      <c r="F6" s="360">
        <v>0</v>
      </c>
      <c r="G6" s="360">
        <v>0</v>
      </c>
      <c r="H6" s="360">
        <v>0</v>
      </c>
      <c r="I6" s="360">
        <v>0</v>
      </c>
      <c r="J6" s="360">
        <v>0</v>
      </c>
      <c r="K6" s="360">
        <v>0</v>
      </c>
      <c r="L6" s="360">
        <v>0</v>
      </c>
      <c r="M6" s="360">
        <v>0</v>
      </c>
      <c r="N6" s="360">
        <v>0</v>
      </c>
      <c r="O6" s="360">
        <v>0</v>
      </c>
    </row>
    <row r="7" spans="1:15" ht="15" customHeight="1">
      <c r="A7" s="363" t="s">
        <v>322</v>
      </c>
      <c r="B7" s="363" t="s">
        <v>322</v>
      </c>
      <c r="C7" s="360">
        <v>0</v>
      </c>
      <c r="D7" s="360">
        <v>0</v>
      </c>
      <c r="E7" s="360">
        <v>0</v>
      </c>
      <c r="F7" s="360">
        <v>0</v>
      </c>
      <c r="G7" s="360">
        <v>0</v>
      </c>
      <c r="H7" s="360">
        <v>0</v>
      </c>
      <c r="I7" s="360">
        <v>0</v>
      </c>
      <c r="J7" s="360">
        <v>0</v>
      </c>
      <c r="K7" s="360">
        <v>0</v>
      </c>
      <c r="L7" s="360">
        <v>0</v>
      </c>
      <c r="M7" s="360">
        <v>0</v>
      </c>
      <c r="N7" s="360">
        <v>0</v>
      </c>
      <c r="O7" s="360">
        <v>0</v>
      </c>
    </row>
    <row r="8" spans="1:15" ht="15" customHeight="1">
      <c r="A8" s="366" t="s">
        <v>313</v>
      </c>
      <c r="B8" s="366" t="s">
        <v>316</v>
      </c>
      <c r="C8" s="359">
        <f t="shared" ref="C8:I8" si="2">SUM(C9:C12)</f>
        <v>-218758</v>
      </c>
      <c r="D8" s="359">
        <f t="shared" si="2"/>
        <v>-260620</v>
      </c>
      <c r="E8" s="359">
        <f t="shared" si="2"/>
        <v>-244398</v>
      </c>
      <c r="F8" s="359">
        <f t="shared" si="2"/>
        <v>-365996</v>
      </c>
      <c r="G8" s="359">
        <f t="shared" si="2"/>
        <v>-280118</v>
      </c>
      <c r="H8" s="359">
        <f t="shared" si="2"/>
        <v>-366957</v>
      </c>
      <c r="I8" s="359">
        <f t="shared" si="2"/>
        <v>-323350</v>
      </c>
      <c r="J8" s="359">
        <f t="shared" ref="J8:O8" si="3">SUM(J9:J12)</f>
        <v>-258576</v>
      </c>
      <c r="K8" s="359">
        <f t="shared" si="3"/>
        <v>-489635</v>
      </c>
      <c r="L8" s="359">
        <f t="shared" si="3"/>
        <v>-470681</v>
      </c>
      <c r="M8" s="359">
        <f t="shared" si="3"/>
        <v>-350509</v>
      </c>
      <c r="N8" s="359">
        <f t="shared" si="3"/>
        <v>-449882</v>
      </c>
      <c r="O8" s="359">
        <f t="shared" si="3"/>
        <v>-401389</v>
      </c>
    </row>
    <row r="9" spans="1:15" s="104" customFormat="1" ht="15" customHeight="1">
      <c r="A9" s="363" t="s">
        <v>325</v>
      </c>
      <c r="B9" s="363" t="s">
        <v>319</v>
      </c>
      <c r="C9" s="360">
        <v>-18993</v>
      </c>
      <c r="D9" s="360">
        <v>-24151</v>
      </c>
      <c r="E9" s="360">
        <v>-38221</v>
      </c>
      <c r="F9" s="360">
        <v>-136336</v>
      </c>
      <c r="G9" s="360">
        <v>-16561</v>
      </c>
      <c r="H9" s="360">
        <v>-30145</v>
      </c>
      <c r="I9" s="360">
        <v>-44965</v>
      </c>
      <c r="J9" s="360">
        <v>-1695</v>
      </c>
      <c r="K9" s="360">
        <v>-12044</v>
      </c>
      <c r="L9" s="360">
        <v>-43979</v>
      </c>
      <c r="M9" s="360">
        <v>513</v>
      </c>
      <c r="N9" s="360">
        <v>-58589</v>
      </c>
      <c r="O9" s="360">
        <v>-42613</v>
      </c>
    </row>
    <row r="10" spans="1:15" s="104" customFormat="1" ht="15" customHeight="1">
      <c r="A10" s="363" t="s">
        <v>326</v>
      </c>
      <c r="B10" s="363" t="s">
        <v>320</v>
      </c>
      <c r="C10" s="360">
        <v>-60657</v>
      </c>
      <c r="D10" s="360">
        <v>-77190</v>
      </c>
      <c r="E10" s="360">
        <v>-91894</v>
      </c>
      <c r="F10" s="360">
        <v>-77906</v>
      </c>
      <c r="G10" s="360">
        <v>-47557</v>
      </c>
      <c r="H10" s="360">
        <v>-199036</v>
      </c>
      <c r="I10" s="360">
        <v>-125026</v>
      </c>
      <c r="J10" s="360">
        <v>-64382</v>
      </c>
      <c r="K10" s="360">
        <v>-260944</v>
      </c>
      <c r="L10" s="360">
        <v>-203816</v>
      </c>
      <c r="M10" s="360">
        <v>-97955</v>
      </c>
      <c r="N10" s="360">
        <v>-41823</v>
      </c>
      <c r="O10" s="360">
        <v>-21700</v>
      </c>
    </row>
    <row r="11" spans="1:15" s="104" customFormat="1" ht="15" customHeight="1">
      <c r="A11" s="363" t="s">
        <v>327</v>
      </c>
      <c r="B11" s="363" t="s">
        <v>321</v>
      </c>
      <c r="C11" s="360">
        <v>-148670</v>
      </c>
      <c r="D11" s="360">
        <v>-168756</v>
      </c>
      <c r="E11" s="360">
        <v>-161983</v>
      </c>
      <c r="F11" s="360">
        <f>-145686+1</f>
        <v>-145685</v>
      </c>
      <c r="G11" s="360">
        <v>-244530</v>
      </c>
      <c r="H11" s="360">
        <v>-148221</v>
      </c>
      <c r="I11" s="360">
        <v>-174146</v>
      </c>
      <c r="J11" s="360">
        <v>-205934</v>
      </c>
      <c r="K11" s="360">
        <v>-218512</v>
      </c>
      <c r="L11" s="360">
        <v>-226088</v>
      </c>
      <c r="M11" s="360">
        <v>-256963</v>
      </c>
      <c r="N11" s="360">
        <v>-368171</v>
      </c>
      <c r="O11" s="360">
        <v>-349279</v>
      </c>
    </row>
    <row r="12" spans="1:15" s="104" customFormat="1" ht="15" customHeight="1">
      <c r="A12" s="363" t="s">
        <v>322</v>
      </c>
      <c r="B12" s="363" t="s">
        <v>322</v>
      </c>
      <c r="C12" s="360">
        <v>9562</v>
      </c>
      <c r="D12" s="360">
        <v>9477</v>
      </c>
      <c r="E12" s="360">
        <v>47700</v>
      </c>
      <c r="F12" s="360">
        <v>-6069</v>
      </c>
      <c r="G12" s="360">
        <v>28530</v>
      </c>
      <c r="H12" s="360">
        <v>10445</v>
      </c>
      <c r="I12" s="360">
        <v>20787</v>
      </c>
      <c r="J12" s="360">
        <v>13435</v>
      </c>
      <c r="K12" s="360">
        <v>1865</v>
      </c>
      <c r="L12" s="360">
        <v>3202</v>
      </c>
      <c r="M12" s="360">
        <v>3896</v>
      </c>
      <c r="N12" s="360">
        <v>18701</v>
      </c>
      <c r="O12" s="360">
        <v>12203</v>
      </c>
    </row>
    <row r="13" spans="1:15" ht="15" customHeight="1">
      <c r="A13" s="366" t="s">
        <v>314</v>
      </c>
      <c r="B13" s="366" t="s">
        <v>317</v>
      </c>
      <c r="C13" s="359">
        <f t="shared" ref="C13:I13" si="4">SUM(C14:C17)</f>
        <v>17680</v>
      </c>
      <c r="D13" s="359">
        <f t="shared" si="4"/>
        <v>-1272</v>
      </c>
      <c r="E13" s="359">
        <f t="shared" si="4"/>
        <v>-7722</v>
      </c>
      <c r="F13" s="359">
        <f t="shared" si="4"/>
        <v>3203</v>
      </c>
      <c r="G13" s="359">
        <f t="shared" si="4"/>
        <v>7442</v>
      </c>
      <c r="H13" s="359">
        <f t="shared" si="4"/>
        <v>-5847</v>
      </c>
      <c r="I13" s="359">
        <f t="shared" si="4"/>
        <v>-12115</v>
      </c>
      <c r="J13" s="359">
        <f t="shared" ref="J13:O13" si="5">SUM(J14:J17)</f>
        <v>5347</v>
      </c>
      <c r="K13" s="359">
        <f t="shared" si="5"/>
        <v>18572</v>
      </c>
      <c r="L13" s="359">
        <f t="shared" si="5"/>
        <v>-11486</v>
      </c>
      <c r="M13" s="359">
        <f t="shared" si="5"/>
        <v>-9680</v>
      </c>
      <c r="N13" s="359">
        <f t="shared" si="5"/>
        <v>-1817</v>
      </c>
      <c r="O13" s="359">
        <f t="shared" si="5"/>
        <v>28671</v>
      </c>
    </row>
    <row r="14" spans="1:15" s="104" customFormat="1" ht="15" customHeight="1">
      <c r="A14" s="363" t="s">
        <v>325</v>
      </c>
      <c r="B14" s="363" t="s">
        <v>319</v>
      </c>
      <c r="C14" s="360">
        <v>0</v>
      </c>
      <c r="D14" s="360">
        <v>0</v>
      </c>
      <c r="E14" s="360">
        <v>0</v>
      </c>
      <c r="F14" s="360">
        <v>0</v>
      </c>
      <c r="G14" s="360">
        <v>0</v>
      </c>
      <c r="H14" s="360">
        <v>0</v>
      </c>
      <c r="I14" s="360">
        <v>0</v>
      </c>
      <c r="J14" s="360">
        <v>0</v>
      </c>
      <c r="K14" s="360">
        <v>0</v>
      </c>
      <c r="L14" s="360">
        <v>0</v>
      </c>
      <c r="M14" s="360">
        <v>0</v>
      </c>
      <c r="N14" s="360">
        <v>0</v>
      </c>
      <c r="O14" s="360">
        <v>0</v>
      </c>
    </row>
    <row r="15" spans="1:15" s="104" customFormat="1" ht="15" customHeight="1">
      <c r="A15" s="363" t="s">
        <v>326</v>
      </c>
      <c r="B15" s="363" t="s">
        <v>320</v>
      </c>
      <c r="C15" s="360">
        <v>0</v>
      </c>
      <c r="D15" s="360">
        <v>0</v>
      </c>
      <c r="E15" s="360">
        <v>0</v>
      </c>
      <c r="F15" s="360">
        <v>0</v>
      </c>
      <c r="G15" s="360">
        <v>0</v>
      </c>
      <c r="H15" s="360">
        <v>0</v>
      </c>
      <c r="I15" s="360">
        <v>0</v>
      </c>
      <c r="J15" s="360">
        <v>0</v>
      </c>
      <c r="K15" s="360">
        <v>0</v>
      </c>
      <c r="L15" s="360">
        <v>0</v>
      </c>
      <c r="M15" s="360">
        <v>0</v>
      </c>
      <c r="N15" s="360">
        <v>0</v>
      </c>
      <c r="O15" s="360">
        <v>0</v>
      </c>
    </row>
    <row r="16" spans="1:15" s="104" customFormat="1" ht="15" customHeight="1">
      <c r="A16" s="363" t="s">
        <v>327</v>
      </c>
      <c r="B16" s="363" t="s">
        <v>321</v>
      </c>
      <c r="C16" s="360">
        <v>17680</v>
      </c>
      <c r="D16" s="360">
        <v>-1272</v>
      </c>
      <c r="E16" s="360">
        <v>-7722</v>
      </c>
      <c r="F16" s="360">
        <v>3203</v>
      </c>
      <c r="G16" s="360">
        <v>7442</v>
      </c>
      <c r="H16" s="360">
        <v>-5847</v>
      </c>
      <c r="I16" s="360">
        <v>-12115</v>
      </c>
      <c r="J16" s="360">
        <v>5347</v>
      </c>
      <c r="K16" s="360">
        <v>18572</v>
      </c>
      <c r="L16" s="360">
        <v>-11486</v>
      </c>
      <c r="M16" s="360">
        <v>-9680</v>
      </c>
      <c r="N16" s="360">
        <v>-1817</v>
      </c>
      <c r="O16" s="360">
        <v>28671</v>
      </c>
    </row>
    <row r="17" spans="1:15" s="104" customFormat="1" ht="15" customHeight="1">
      <c r="A17" s="363" t="s">
        <v>322</v>
      </c>
      <c r="B17" s="363" t="s">
        <v>322</v>
      </c>
      <c r="C17" s="360">
        <v>0</v>
      </c>
      <c r="D17" s="360">
        <v>0</v>
      </c>
      <c r="E17" s="360">
        <v>0</v>
      </c>
      <c r="F17" s="360">
        <v>0</v>
      </c>
      <c r="G17" s="360">
        <v>0</v>
      </c>
      <c r="H17" s="360">
        <v>0</v>
      </c>
      <c r="I17" s="360">
        <v>0</v>
      </c>
      <c r="J17" s="360">
        <v>0</v>
      </c>
      <c r="K17" s="360">
        <v>0</v>
      </c>
      <c r="L17" s="360">
        <v>0</v>
      </c>
      <c r="M17" s="360">
        <v>0</v>
      </c>
      <c r="N17" s="360">
        <v>0</v>
      </c>
      <c r="O17" s="360">
        <v>0</v>
      </c>
    </row>
    <row r="18" spans="1:15" ht="15" customHeight="1">
      <c r="A18" s="367" t="s">
        <v>315</v>
      </c>
      <c r="B18" s="366" t="s">
        <v>318</v>
      </c>
      <c r="C18" s="359">
        <f t="shared" ref="C18:I18" si="6">SUM(C19:C22)</f>
        <v>-2286</v>
      </c>
      <c r="D18" s="359">
        <f t="shared" si="6"/>
        <v>4083</v>
      </c>
      <c r="E18" s="359">
        <f t="shared" si="6"/>
        <v>-1541</v>
      </c>
      <c r="F18" s="359">
        <f t="shared" si="6"/>
        <v>-7375</v>
      </c>
      <c r="G18" s="359">
        <f t="shared" si="6"/>
        <v>9988</v>
      </c>
      <c r="H18" s="359">
        <f t="shared" si="6"/>
        <v>16248</v>
      </c>
      <c r="I18" s="359">
        <f t="shared" si="6"/>
        <v>-1090</v>
      </c>
      <c r="J18" s="359">
        <f t="shared" ref="J18:O18" si="7">SUM(J19:J22)</f>
        <v>-10297</v>
      </c>
      <c r="K18" s="359">
        <f t="shared" si="7"/>
        <v>4767</v>
      </c>
      <c r="L18" s="359">
        <f t="shared" si="7"/>
        <v>1251</v>
      </c>
      <c r="M18" s="359">
        <f t="shared" si="7"/>
        <v>1288</v>
      </c>
      <c r="N18" s="359">
        <f t="shared" si="7"/>
        <v>-4989</v>
      </c>
      <c r="O18" s="359">
        <f t="shared" si="7"/>
        <v>9629</v>
      </c>
    </row>
    <row r="19" spans="1:15" s="104" customFormat="1" ht="15" customHeight="1">
      <c r="A19" s="363" t="s">
        <v>325</v>
      </c>
      <c r="B19" s="363" t="s">
        <v>319</v>
      </c>
      <c r="C19" s="360">
        <v>-2540</v>
      </c>
      <c r="D19" s="360">
        <v>1976</v>
      </c>
      <c r="E19" s="360">
        <v>1293</v>
      </c>
      <c r="F19" s="360">
        <v>-5753</v>
      </c>
      <c r="G19" s="360">
        <v>2495</v>
      </c>
      <c r="H19" s="360">
        <v>13299</v>
      </c>
      <c r="I19" s="360">
        <v>1365</v>
      </c>
      <c r="J19" s="360">
        <v>-2513</v>
      </c>
      <c r="K19" s="360">
        <v>8017</v>
      </c>
      <c r="L19" s="360">
        <v>-4388</v>
      </c>
      <c r="M19" s="360">
        <v>1227</v>
      </c>
      <c r="N19" s="360">
        <v>-9</v>
      </c>
      <c r="O19" s="360">
        <v>-1468</v>
      </c>
    </row>
    <row r="20" spans="1:15" s="104" customFormat="1" ht="15" customHeight="1">
      <c r="A20" s="363" t="s">
        <v>326</v>
      </c>
      <c r="B20" s="363" t="s">
        <v>320</v>
      </c>
      <c r="C20" s="360">
        <v>2111</v>
      </c>
      <c r="D20" s="360">
        <v>3344</v>
      </c>
      <c r="E20" s="360">
        <v>1988</v>
      </c>
      <c r="F20" s="360">
        <v>-2958</v>
      </c>
      <c r="G20" s="360">
        <v>2942</v>
      </c>
      <c r="H20" s="360">
        <v>388</v>
      </c>
      <c r="I20" s="360">
        <v>-670</v>
      </c>
      <c r="J20" s="360">
        <v>164</v>
      </c>
      <c r="K20" s="360">
        <v>1127</v>
      </c>
      <c r="L20" s="360">
        <v>-4865</v>
      </c>
      <c r="M20" s="360">
        <v>1522</v>
      </c>
      <c r="N20" s="360">
        <v>-1483</v>
      </c>
      <c r="O20" s="360">
        <v>2266</v>
      </c>
    </row>
    <row r="21" spans="1:15" s="104" customFormat="1" ht="15" customHeight="1">
      <c r="A21" s="363" t="s">
        <v>327</v>
      </c>
      <c r="B21" s="363" t="s">
        <v>321</v>
      </c>
      <c r="C21" s="360">
        <v>-1857</v>
      </c>
      <c r="D21" s="360">
        <v>-1237</v>
      </c>
      <c r="E21" s="360">
        <v>-4822</v>
      </c>
      <c r="F21" s="360">
        <v>1336</v>
      </c>
      <c r="G21" s="360">
        <v>4551</v>
      </c>
      <c r="H21" s="360">
        <v>2561</v>
      </c>
      <c r="I21" s="360">
        <v>-1785</v>
      </c>
      <c r="J21" s="360">
        <v>-7948</v>
      </c>
      <c r="K21" s="360">
        <v>-4377</v>
      </c>
      <c r="L21" s="360">
        <v>10504</v>
      </c>
      <c r="M21" s="360">
        <v>-1461</v>
      </c>
      <c r="N21" s="360">
        <v>-3497</v>
      </c>
      <c r="O21" s="360">
        <v>8831</v>
      </c>
    </row>
    <row r="22" spans="1:15" s="104" customFormat="1" ht="15" customHeight="1">
      <c r="A22" s="364" t="s">
        <v>322</v>
      </c>
      <c r="B22" s="364" t="s">
        <v>322</v>
      </c>
      <c r="C22" s="361">
        <v>0</v>
      </c>
      <c r="D22" s="361">
        <v>0</v>
      </c>
      <c r="E22" s="360">
        <v>0</v>
      </c>
      <c r="F22" s="360">
        <v>0</v>
      </c>
      <c r="G22" s="361">
        <v>0</v>
      </c>
      <c r="H22" s="361">
        <v>0</v>
      </c>
      <c r="I22" s="361">
        <v>0</v>
      </c>
      <c r="J22" s="360">
        <v>0</v>
      </c>
      <c r="K22" s="360">
        <v>0</v>
      </c>
      <c r="L22" s="360">
        <v>0</v>
      </c>
      <c r="M22" s="360">
        <v>0</v>
      </c>
      <c r="N22" s="360">
        <v>0</v>
      </c>
      <c r="O22" s="360">
        <v>0</v>
      </c>
    </row>
    <row r="23" spans="1:15" s="110" customFormat="1" ht="15" customHeight="1">
      <c r="A23" s="365" t="s">
        <v>58</v>
      </c>
      <c r="B23" s="365" t="s">
        <v>43</v>
      </c>
      <c r="C23" s="362">
        <f t="shared" ref="C23:K23" si="8">SUM(C3,C8,C13,C18)</f>
        <v>-203364</v>
      </c>
      <c r="D23" s="362">
        <f t="shared" si="8"/>
        <v>-257876</v>
      </c>
      <c r="E23" s="362">
        <f t="shared" si="8"/>
        <v>-253665</v>
      </c>
      <c r="F23" s="362">
        <f t="shared" si="8"/>
        <v>-370163</v>
      </c>
      <c r="G23" s="362">
        <f t="shared" si="8"/>
        <v>-262688</v>
      </c>
      <c r="H23" s="362">
        <f t="shared" si="8"/>
        <v>-356558</v>
      </c>
      <c r="I23" s="362">
        <f t="shared" si="8"/>
        <v>-336556</v>
      </c>
      <c r="J23" s="362">
        <f t="shared" si="8"/>
        <v>-263551</v>
      </c>
      <c r="K23" s="362">
        <f t="shared" si="8"/>
        <v>-466300</v>
      </c>
      <c r="L23" s="362">
        <f t="shared" ref="L23:M23" si="9">SUM(L3,L8,L13,L18)</f>
        <v>-480919</v>
      </c>
      <c r="M23" s="362">
        <f t="shared" si="9"/>
        <v>-358898</v>
      </c>
      <c r="N23" s="362">
        <f t="shared" ref="N23:O23" si="10">SUM(N3,N8,N13,N18)</f>
        <v>-456695</v>
      </c>
      <c r="O23" s="362">
        <f t="shared" si="10"/>
        <v>-363079</v>
      </c>
    </row>
    <row r="24" spans="1:15" s="289" customFormat="1">
      <c r="C24" s="286">
        <f>'P&amp;L'!G17-C23</f>
        <v>0</v>
      </c>
      <c r="D24" s="286">
        <f>'P&amp;L'!H17-D23</f>
        <v>0</v>
      </c>
      <c r="E24" s="286">
        <f>'P&amp;L'!I17-E23</f>
        <v>0</v>
      </c>
      <c r="F24" s="286"/>
      <c r="G24" s="286">
        <f>'P&amp;L'!K17-G23</f>
        <v>0</v>
      </c>
      <c r="H24" s="286">
        <f>'P&amp;L'!L17-H23</f>
        <v>0</v>
      </c>
      <c r="I24" s="286">
        <f>'P&amp;L'!M17-I23</f>
        <v>0</v>
      </c>
      <c r="J24" s="286">
        <f>'P&amp;L'!N17-J23</f>
        <v>0</v>
      </c>
      <c r="K24" s="286">
        <f>'P&amp;L'!O17-K23</f>
        <v>0</v>
      </c>
      <c r="L24" s="286">
        <f>'P&amp;L'!P17-L23</f>
        <v>0</v>
      </c>
      <c r="M24" s="286"/>
      <c r="N24" s="286"/>
      <c r="O24" s="286"/>
    </row>
  </sheetData>
  <customSheetViews>
    <customSheetView guid="{2A0EA35A-7F53-4AD8-895C-C234D094A4A4}">
      <selection activeCell="G25" sqref="G25"/>
      <pageMargins left="0.7" right="0.7" top="0.75" bottom="0.75" header="0.3" footer="0.3"/>
    </customSheetView>
    <customSheetView guid="{8DA78CF1-615A-4626-9893-6751995631A4}">
      <selection activeCell="G27" sqref="G27"/>
      <pageMargins left="0.7" right="0.7" top="0.75" bottom="0.75" header="0.3" footer="0.3"/>
    </customSheetView>
    <customSheetView guid="{899D69CD-4B7E-42BC-9944-5BD922EB798C}" topLeftCell="B1">
      <selection activeCell="O17" sqref="O17"/>
      <pageMargins left="0.7" right="0.7" top="0.75" bottom="0.75" header="0.3" footer="0.3"/>
      <pageSetup paperSize="9" orientation="portrait" horizontalDpi="1200" verticalDpi="1200" r:id="rId1"/>
    </customSheetView>
    <customSheetView guid="{25FAB884-5E17-4008-8139-33D910C7DEFE}">
      <selection activeCell="L27" sqref="L27"/>
      <pageMargins left="0.7" right="0.7" top="0.75" bottom="0.75" header="0.3" footer="0.3"/>
      <pageSetup paperSize="9" orientation="portrait" horizontalDpi="1200" verticalDpi="1200" r:id="rId2"/>
    </customSheetView>
    <customSheetView guid="{57267270-6A97-4850-9DB6-FE6B399379AA}">
      <selection activeCell="D10" sqref="D10"/>
      <pageMargins left="0.7" right="0.7" top="0.75" bottom="0.75" header="0.3" footer="0.3"/>
    </customSheetView>
    <customSheetView guid="{687A4863-1825-4D63-B732-E76682E6DE4F}">
      <selection activeCell="H24" sqref="H24"/>
      <pageMargins left="0.7" right="0.7" top="0.75" bottom="0.75" header="0.3" footer="0.3"/>
    </customSheetView>
    <customSheetView guid="{9AF4A83C-CF57-4B40-8A74-6A0EA6C2FE5C}">
      <selection activeCell="G27" sqref="G27"/>
      <pageMargins left="0.7" right="0.7" top="0.75" bottom="0.75" header="0.3" footer="0.3"/>
    </customSheetView>
    <customSheetView guid="{12F8D032-8143-430B-8DFF-852E8796C402}">
      <selection activeCell="H24" sqref="H24"/>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95" workbookViewId="0">
      <selection activeCell="G26" sqref="G26"/>
    </sheetView>
  </sheetViews>
  <sheetFormatPr defaultColWidth="9.140625" defaultRowHeight="15"/>
  <cols>
    <col min="1" max="2" width="46.5703125" style="20" customWidth="1"/>
    <col min="3" max="13" width="10.85546875" style="19" customWidth="1"/>
    <col min="14" max="19" width="10.85546875" style="89" customWidth="1"/>
    <col min="20" max="20" width="10.85546875" style="461" bestFit="1" customWidth="1"/>
    <col min="21" max="16384" width="9.140625" style="19"/>
  </cols>
  <sheetData>
    <row r="1" spans="1:20">
      <c r="M1" s="269"/>
    </row>
    <row r="2" spans="1:20" ht="15.75" thickBot="1">
      <c r="A2" s="31" t="s">
        <v>60</v>
      </c>
      <c r="B2" s="31" t="s">
        <v>12</v>
      </c>
      <c r="C2" s="36" t="s">
        <v>188</v>
      </c>
      <c r="D2" s="36" t="s">
        <v>189</v>
      </c>
      <c r="E2" s="36" t="s">
        <v>190</v>
      </c>
      <c r="F2" s="36" t="s">
        <v>191</v>
      </c>
      <c r="G2" s="36" t="s">
        <v>192</v>
      </c>
      <c r="H2" s="36" t="s">
        <v>193</v>
      </c>
      <c r="I2" s="36" t="s">
        <v>194</v>
      </c>
      <c r="J2" s="36" t="s">
        <v>195</v>
      </c>
      <c r="K2" s="36" t="s">
        <v>196</v>
      </c>
      <c r="L2" s="36" t="s">
        <v>197</v>
      </c>
      <c r="M2" s="36" t="s">
        <v>594</v>
      </c>
      <c r="N2" s="36" t="s">
        <v>603</v>
      </c>
      <c r="O2" s="36" t="s">
        <v>638</v>
      </c>
      <c r="P2" s="36" t="s">
        <v>642</v>
      </c>
      <c r="Q2" s="36" t="s">
        <v>651</v>
      </c>
      <c r="R2" s="36" t="s">
        <v>662</v>
      </c>
      <c r="S2" s="36" t="s">
        <v>672</v>
      </c>
    </row>
    <row r="3" spans="1:20">
      <c r="A3" s="32" t="s">
        <v>273</v>
      </c>
      <c r="B3" s="32" t="s">
        <v>300</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c r="Q3" s="38">
        <v>-33361</v>
      </c>
      <c r="R3" s="38">
        <v>-220685</v>
      </c>
      <c r="S3" s="38">
        <v>-141984</v>
      </c>
      <c r="T3" s="462"/>
    </row>
    <row r="4" spans="1:20" s="89" customFormat="1">
      <c r="A4" s="160" t="s">
        <v>618</v>
      </c>
      <c r="B4" s="160" t="s">
        <v>670</v>
      </c>
      <c r="C4" s="38">
        <v>0</v>
      </c>
      <c r="D4" s="38">
        <v>0</v>
      </c>
      <c r="E4" s="38">
        <v>0</v>
      </c>
      <c r="F4" s="38">
        <v>0</v>
      </c>
      <c r="G4" s="38">
        <v>0</v>
      </c>
      <c r="H4" s="38">
        <v>0</v>
      </c>
      <c r="I4" s="38">
        <v>0</v>
      </c>
      <c r="J4" s="38">
        <v>0</v>
      </c>
      <c r="K4" s="38">
        <v>0</v>
      </c>
      <c r="L4" s="38">
        <v>0</v>
      </c>
      <c r="M4" s="38">
        <v>-9954</v>
      </c>
      <c r="N4" s="38">
        <v>-256674</v>
      </c>
      <c r="O4" s="38">
        <v>-47105</v>
      </c>
      <c r="P4" s="38">
        <v>-63228</v>
      </c>
      <c r="Q4" s="38">
        <v>0</v>
      </c>
      <c r="R4" s="38">
        <v>-90860</v>
      </c>
      <c r="S4" s="38">
        <v>-78824</v>
      </c>
      <c r="T4" s="462"/>
    </row>
    <row r="5" spans="1:20" ht="38.25">
      <c r="A5" s="33" t="s">
        <v>589</v>
      </c>
      <c r="B5" s="33" t="s">
        <v>590</v>
      </c>
      <c r="C5" s="38">
        <v>0</v>
      </c>
      <c r="D5" s="38">
        <v>0</v>
      </c>
      <c r="E5" s="38">
        <v>0</v>
      </c>
      <c r="F5" s="38">
        <v>-8397</v>
      </c>
      <c r="G5" s="38">
        <v>0</v>
      </c>
      <c r="H5" s="38">
        <v>0</v>
      </c>
      <c r="I5" s="38">
        <v>0</v>
      </c>
      <c r="J5" s="38">
        <v>-13054</v>
      </c>
      <c r="K5" s="38">
        <v>0</v>
      </c>
      <c r="L5" s="38">
        <v>-17460</v>
      </c>
      <c r="M5" s="38">
        <v>-1097</v>
      </c>
      <c r="N5" s="38">
        <v>-15578</v>
      </c>
      <c r="O5" s="38">
        <v>-8687</v>
      </c>
      <c r="P5" s="38">
        <v>-23978</v>
      </c>
      <c r="Q5" s="38">
        <v>-3925</v>
      </c>
      <c r="R5" s="38">
        <v>-5815</v>
      </c>
      <c r="S5" s="38">
        <v>-8783</v>
      </c>
      <c r="T5" s="462"/>
    </row>
    <row r="6" spans="1:20" ht="15" customHeight="1">
      <c r="A6" s="33" t="s">
        <v>274</v>
      </c>
      <c r="B6" s="33" t="s">
        <v>301</v>
      </c>
      <c r="C6" s="38">
        <v>-1004</v>
      </c>
      <c r="D6" s="38">
        <v>-3826</v>
      </c>
      <c r="E6" s="38">
        <v>-1691</v>
      </c>
      <c r="F6" s="38">
        <v>-1656</v>
      </c>
      <c r="G6" s="38">
        <v>-5605</v>
      </c>
      <c r="H6" s="38">
        <v>-2342</v>
      </c>
      <c r="I6" s="38">
        <v>-2819</v>
      </c>
      <c r="J6" s="38">
        <v>-4031</v>
      </c>
      <c r="K6" s="38">
        <v>-498</v>
      </c>
      <c r="L6" s="38">
        <v>-718</v>
      </c>
      <c r="M6" s="38">
        <v>-1411</v>
      </c>
      <c r="N6" s="38">
        <v>-995</v>
      </c>
      <c r="O6" s="38">
        <v>-963</v>
      </c>
      <c r="P6" s="38">
        <v>-707</v>
      </c>
      <c r="Q6" s="38">
        <v>-786</v>
      </c>
      <c r="R6" s="38">
        <v>-3719</v>
      </c>
      <c r="S6" s="38">
        <v>-871</v>
      </c>
      <c r="T6" s="462"/>
    </row>
    <row r="7" spans="1:20" ht="15" customHeight="1">
      <c r="A7" s="33" t="s">
        <v>275</v>
      </c>
      <c r="B7" s="33" t="s">
        <v>302</v>
      </c>
      <c r="C7" s="38">
        <v>-190</v>
      </c>
      <c r="D7" s="38">
        <v>-197</v>
      </c>
      <c r="E7" s="38">
        <v>-407</v>
      </c>
      <c r="F7" s="38">
        <v>-198</v>
      </c>
      <c r="G7" s="38">
        <v>-181</v>
      </c>
      <c r="H7" s="38">
        <v>-353</v>
      </c>
      <c r="I7" s="38">
        <v>-221</v>
      </c>
      <c r="J7" s="38">
        <v>-228</v>
      </c>
      <c r="K7" s="38">
        <v>-182</v>
      </c>
      <c r="L7" s="38">
        <v>-367</v>
      </c>
      <c r="M7" s="38">
        <v>-340</v>
      </c>
      <c r="N7" s="38">
        <v>-177</v>
      </c>
      <c r="O7" s="38">
        <v>-188</v>
      </c>
      <c r="P7" s="38">
        <v>-432</v>
      </c>
      <c r="Q7" s="38">
        <v>-275</v>
      </c>
      <c r="R7" s="38">
        <v>-297</v>
      </c>
      <c r="S7" s="38">
        <v>-234</v>
      </c>
      <c r="T7" s="462"/>
    </row>
    <row r="8" spans="1:20" ht="15" customHeight="1">
      <c r="A8" s="33" t="s">
        <v>276</v>
      </c>
      <c r="B8" s="33" t="s">
        <v>303</v>
      </c>
      <c r="C8" s="38">
        <v>-4725</v>
      </c>
      <c r="D8" s="38">
        <v>-3429</v>
      </c>
      <c r="E8" s="38">
        <v>-2465</v>
      </c>
      <c r="F8" s="38">
        <v>7528</v>
      </c>
      <c r="G8" s="38">
        <v>-3339</v>
      </c>
      <c r="H8" s="38">
        <v>-3568</v>
      </c>
      <c r="I8" s="38">
        <v>-3962</v>
      </c>
      <c r="J8" s="38">
        <v>9005</v>
      </c>
      <c r="K8" s="38">
        <v>-300</v>
      </c>
      <c r="L8" s="38">
        <v>-599</v>
      </c>
      <c r="M8" s="38">
        <v>-776</v>
      </c>
      <c r="N8" s="38">
        <v>-562</v>
      </c>
      <c r="O8" s="38">
        <v>-775</v>
      </c>
      <c r="P8" s="38">
        <v>-300</v>
      </c>
      <c r="Q8" s="38">
        <v>-280</v>
      </c>
      <c r="R8" s="38">
        <v>-740</v>
      </c>
      <c r="S8" s="38">
        <v>-724</v>
      </c>
      <c r="T8" s="462"/>
    </row>
    <row r="9" spans="1:20" ht="15" customHeight="1">
      <c r="A9" s="33" t="s">
        <v>277</v>
      </c>
      <c r="B9" s="33" t="s">
        <v>304</v>
      </c>
      <c r="C9" s="38">
        <v>-1500</v>
      </c>
      <c r="D9" s="38">
        <v>-922</v>
      </c>
      <c r="E9" s="38">
        <v>-30</v>
      </c>
      <c r="F9" s="38">
        <v>-2424</v>
      </c>
      <c r="G9" s="38">
        <v>-39</v>
      </c>
      <c r="H9" s="38">
        <v>-2729</v>
      </c>
      <c r="I9" s="38">
        <v>-399</v>
      </c>
      <c r="J9" s="38">
        <v>-1568</v>
      </c>
      <c r="K9" s="38">
        <v>-2233</v>
      </c>
      <c r="L9" s="38">
        <v>-2229</v>
      </c>
      <c r="M9" s="38">
        <v>-107</v>
      </c>
      <c r="N9" s="38">
        <v>-446</v>
      </c>
      <c r="O9" s="38">
        <v>-2034</v>
      </c>
      <c r="P9" s="38">
        <v>-3945</v>
      </c>
      <c r="Q9" s="38">
        <v>-682</v>
      </c>
      <c r="R9" s="38">
        <v>-1794</v>
      </c>
      <c r="S9" s="38">
        <v>-26</v>
      </c>
      <c r="T9" s="462"/>
    </row>
    <row r="10" spans="1:20" ht="15" customHeight="1">
      <c r="A10" s="34" t="s">
        <v>272</v>
      </c>
      <c r="B10" s="34" t="s">
        <v>295</v>
      </c>
      <c r="C10" s="37">
        <v>-4825</v>
      </c>
      <c r="D10" s="37">
        <v>-8014</v>
      </c>
      <c r="E10" s="37">
        <v>-5357</v>
      </c>
      <c r="F10" s="37">
        <v>-10780</v>
      </c>
      <c r="G10" s="37">
        <v>-7163</v>
      </c>
      <c r="H10" s="37">
        <v>-5632</v>
      </c>
      <c r="I10" s="37">
        <v>-7677</v>
      </c>
      <c r="J10" s="37">
        <v>-11523</v>
      </c>
      <c r="K10" s="261">
        <v>-9892</v>
      </c>
      <c r="L10" s="261">
        <v>-8955</v>
      </c>
      <c r="M10" s="261">
        <v>-7758</v>
      </c>
      <c r="N10" s="38">
        <v>-13102</v>
      </c>
      <c r="O10" s="38">
        <v>-10324</v>
      </c>
      <c r="P10" s="38">
        <v>-10720</v>
      </c>
      <c r="Q10" s="38">
        <v>-15140</v>
      </c>
      <c r="R10" s="38">
        <v>-12093</v>
      </c>
      <c r="S10" s="38">
        <v>-15370</v>
      </c>
      <c r="T10" s="462"/>
    </row>
    <row r="11" spans="1:20" ht="15" customHeight="1">
      <c r="A11" s="35" t="s">
        <v>58</v>
      </c>
      <c r="B11" s="35" t="s">
        <v>43</v>
      </c>
      <c r="C11" s="39">
        <v>-27993</v>
      </c>
      <c r="D11" s="39">
        <v>-16655</v>
      </c>
      <c r="E11" s="39">
        <v>-39161</v>
      </c>
      <c r="F11" s="39">
        <v>-30240</v>
      </c>
      <c r="G11" s="39">
        <f>SUM(G3:G10)</f>
        <v>-26161</v>
      </c>
      <c r="H11" s="39">
        <v>-84548</v>
      </c>
      <c r="I11" s="39">
        <v>-34081</v>
      </c>
      <c r="J11" s="39">
        <v>-47951</v>
      </c>
      <c r="K11" s="39">
        <f t="shared" ref="K11:R11" si="0">SUM(K3:K10)</f>
        <v>-26792</v>
      </c>
      <c r="L11" s="39">
        <f t="shared" si="0"/>
        <v>-46032</v>
      </c>
      <c r="M11" s="39">
        <f t="shared" si="0"/>
        <v>-35419</v>
      </c>
      <c r="N11" s="39">
        <f t="shared" si="0"/>
        <v>-303639</v>
      </c>
      <c r="O11" s="39">
        <f t="shared" si="0"/>
        <v>-91340</v>
      </c>
      <c r="P11" s="39">
        <f t="shared" si="0"/>
        <v>-150057</v>
      </c>
      <c r="Q11" s="39">
        <f t="shared" si="0"/>
        <v>-54449</v>
      </c>
      <c r="R11" s="39">
        <f t="shared" si="0"/>
        <v>-336003</v>
      </c>
      <c r="S11" s="39">
        <f t="shared" ref="S11" si="1">SUM(S3:S10)</f>
        <v>-246816</v>
      </c>
      <c r="T11" s="462"/>
    </row>
    <row r="12" spans="1:20">
      <c r="B12" s="240"/>
      <c r="C12" s="317"/>
      <c r="D12" s="317"/>
      <c r="E12" s="317"/>
      <c r="F12" s="317"/>
      <c r="G12" s="317"/>
      <c r="H12" s="317"/>
      <c r="I12" s="317"/>
      <c r="J12" s="317"/>
      <c r="K12" s="317"/>
      <c r="L12" s="317"/>
      <c r="M12" s="317"/>
      <c r="N12" s="317"/>
      <c r="O12" s="317"/>
      <c r="P12" s="317"/>
      <c r="Q12" s="317"/>
      <c r="R12" s="317"/>
      <c r="S12" s="317"/>
    </row>
    <row r="13" spans="1:20">
      <c r="B13" s="311"/>
      <c r="C13" s="309"/>
      <c r="D13" s="309"/>
      <c r="E13" s="309"/>
      <c r="F13" s="310"/>
      <c r="G13" s="310"/>
      <c r="H13" s="310"/>
      <c r="I13" s="310"/>
      <c r="J13" s="310"/>
      <c r="K13" s="310"/>
      <c r="L13" s="310"/>
      <c r="M13" s="310"/>
      <c r="N13" s="310"/>
      <c r="O13" s="310"/>
      <c r="P13" s="310"/>
      <c r="Q13" s="310"/>
      <c r="R13" s="310"/>
      <c r="S13" s="310"/>
    </row>
    <row r="14" spans="1:20">
      <c r="B14" s="311"/>
      <c r="C14" s="312"/>
      <c r="D14" s="312"/>
      <c r="E14" s="312"/>
      <c r="F14" s="312"/>
      <c r="G14" s="312"/>
      <c r="H14" s="312"/>
      <c r="I14" s="312"/>
      <c r="J14" s="312"/>
      <c r="K14" s="465"/>
      <c r="L14" s="465"/>
      <c r="M14" s="465"/>
      <c r="N14" s="465"/>
      <c r="O14" s="465"/>
      <c r="P14" s="465"/>
      <c r="Q14" s="465"/>
      <c r="R14" s="465"/>
      <c r="S14" s="465"/>
    </row>
    <row r="15" spans="1:20" s="89" customFormat="1">
      <c r="A15" s="20"/>
      <c r="B15" s="313"/>
      <c r="C15" s="92"/>
      <c r="D15" s="92"/>
      <c r="E15" s="92"/>
      <c r="F15" s="92"/>
      <c r="G15" s="268"/>
      <c r="H15" s="92"/>
      <c r="I15" s="92"/>
      <c r="J15" s="92"/>
      <c r="K15" s="280"/>
      <c r="L15" s="92"/>
      <c r="M15" s="92"/>
      <c r="N15" s="92"/>
      <c r="O15" s="92"/>
      <c r="P15" s="92"/>
      <c r="Q15" s="92"/>
      <c r="R15" s="92"/>
      <c r="S15" s="92"/>
      <c r="T15" s="461"/>
    </row>
    <row r="16" spans="1:20">
      <c r="G16" s="269"/>
    </row>
    <row r="17" spans="7:7">
      <c r="G17" s="269"/>
    </row>
    <row r="18" spans="7:7">
      <c r="G18" s="269"/>
    </row>
    <row r="19" spans="7:7">
      <c r="G19" s="269"/>
    </row>
    <row r="20" spans="7:7">
      <c r="G20" s="269"/>
    </row>
    <row r="21" spans="7:7">
      <c r="G21" s="269"/>
    </row>
    <row r="22" spans="7:7">
      <c r="G22" s="269"/>
    </row>
    <row r="23" spans="7:7">
      <c r="G23" s="269"/>
    </row>
    <row r="24" spans="7:7">
      <c r="G24" s="269"/>
    </row>
    <row r="25" spans="7:7">
      <c r="G25" s="269"/>
    </row>
    <row r="26" spans="7:7">
      <c r="G26" s="269"/>
    </row>
  </sheetData>
  <customSheetViews>
    <customSheetView guid="{2A0EA35A-7F53-4AD8-895C-C234D094A4A4}">
      <selection activeCell="G26" sqref="G26"/>
      <pageMargins left="0.7" right="0.7" top="0.75" bottom="0.75" header="0.3" footer="0.3"/>
      <pageSetup paperSize="9" orientation="portrait" horizontalDpi="1200" verticalDpi="1200" r:id="rId1"/>
    </customSheetView>
    <customSheetView guid="{8DA78CF1-615A-4626-9893-6751995631A4}" topLeftCell="E1">
      <selection activeCell="H23" sqref="H23"/>
      <pageMargins left="0.7" right="0.7" top="0.75" bottom="0.75" header="0.3" footer="0.3"/>
      <pageSetup paperSize="9" orientation="portrait" horizontalDpi="1200" verticalDpi="1200" r:id="rId2"/>
    </customSheetView>
    <customSheetView guid="{899D69CD-4B7E-42BC-9944-5BD922EB798C}">
      <selection activeCell="B8" sqref="B8"/>
      <pageMargins left="0.7" right="0.7" top="0.75" bottom="0.75" header="0.3" footer="0.3"/>
    </customSheetView>
    <customSheetView guid="{25FAB884-5E17-4008-8139-33D910C7DEFE}">
      <selection activeCell="L27" sqref="L27"/>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3"/>
    </customSheetView>
    <customSheetView guid="{687A4863-1825-4D63-B732-E76682E6DE4F}" scale="95" showGridLines="0">
      <selection activeCell="B19" sqref="B18:B19"/>
      <pageMargins left="0.7" right="0.7" top="0.75" bottom="0.75" header="0.3" footer="0.3"/>
      <pageSetup paperSize="9" orientation="portrait" horizontalDpi="1200" verticalDpi="1200" r:id="rId4"/>
    </customSheetView>
    <customSheetView guid="{9AF4A83C-CF57-4B40-8A74-6A0EA6C2FE5C}" topLeftCell="G1">
      <selection activeCell="S11" sqref="S11"/>
      <pageMargins left="0.7" right="0.7" top="0.75" bottom="0.75" header="0.3" footer="0.3"/>
      <pageSetup paperSize="9" orientation="portrait" horizontalDpi="1200" verticalDpi="1200" r:id="rId5"/>
    </customSheetView>
    <customSheetView guid="{12F8D032-8143-430B-8DFF-852E8796C402}" showGridLines="0">
      <selection activeCell="A3" sqref="A3"/>
      <pageMargins left="0.7" right="0.7" top="0.75" bottom="0.75" header="0.3" footer="0.3"/>
    </customSheetView>
  </customSheetViews>
  <pageMargins left="0.7" right="0.7" top="0.75" bottom="0.75" header="0.3" footer="0.3"/>
  <pageSetup paperSize="9" orientation="portrait" horizontalDpi="1200" verticalDpi="1200"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6"/>
  <sheetViews>
    <sheetView workbookViewId="0">
      <selection activeCell="I20" sqref="I20"/>
    </sheetView>
  </sheetViews>
  <sheetFormatPr defaultColWidth="9.140625" defaultRowHeight="15"/>
  <cols>
    <col min="1" max="1" width="39.140625" style="19" customWidth="1"/>
    <col min="2" max="2" width="40.5703125" style="19" customWidth="1"/>
    <col min="3" max="13" width="9.140625" style="19" customWidth="1"/>
    <col min="14" max="17" width="9.140625" style="89" customWidth="1"/>
    <col min="18" max="18" width="9.140625" style="19" customWidth="1"/>
    <col min="19" max="19" width="9.140625" style="89" customWidth="1"/>
    <col min="20" max="16384" width="9.140625" style="19"/>
  </cols>
  <sheetData>
    <row r="2" spans="1:22" ht="15.75" thickBot="1">
      <c r="A2" s="31" t="s">
        <v>95</v>
      </c>
      <c r="B2" s="31" t="s">
        <v>8</v>
      </c>
      <c r="C2" s="40" t="s">
        <v>188</v>
      </c>
      <c r="D2" s="40" t="s">
        <v>189</v>
      </c>
      <c r="E2" s="40" t="s">
        <v>190</v>
      </c>
      <c r="F2" s="40" t="s">
        <v>191</v>
      </c>
      <c r="G2" s="40" t="s">
        <v>192</v>
      </c>
      <c r="H2" s="40" t="s">
        <v>193</v>
      </c>
      <c r="I2" s="40" t="s">
        <v>194</v>
      </c>
      <c r="J2" s="40" t="s">
        <v>195</v>
      </c>
      <c r="K2" s="40" t="s">
        <v>196</v>
      </c>
      <c r="L2" s="40" t="s">
        <v>197</v>
      </c>
      <c r="M2" s="40" t="s">
        <v>594</v>
      </c>
      <c r="N2" s="40" t="s">
        <v>603</v>
      </c>
      <c r="O2" s="40" t="s">
        <v>638</v>
      </c>
      <c r="P2" s="40" t="s">
        <v>642</v>
      </c>
      <c r="Q2" s="40" t="s">
        <v>651</v>
      </c>
      <c r="R2" s="458" t="s">
        <v>662</v>
      </c>
      <c r="S2" s="458" t="s">
        <v>672</v>
      </c>
    </row>
    <row r="3" spans="1:22" ht="15" customHeight="1">
      <c r="A3" s="32" t="s">
        <v>265</v>
      </c>
      <c r="B3" s="32" t="s">
        <v>296</v>
      </c>
      <c r="C3" s="41">
        <v>3376</v>
      </c>
      <c r="D3" s="41">
        <v>6938</v>
      </c>
      <c r="E3" s="41">
        <v>5170</v>
      </c>
      <c r="F3" s="41">
        <v>5051</v>
      </c>
      <c r="G3" s="41">
        <v>11115</v>
      </c>
      <c r="H3" s="41">
        <v>4672</v>
      </c>
      <c r="I3" s="41">
        <v>8655</v>
      </c>
      <c r="J3" s="41">
        <v>10293</v>
      </c>
      <c r="K3" s="42">
        <v>5655</v>
      </c>
      <c r="L3" s="42">
        <v>7518</v>
      </c>
      <c r="M3" s="42">
        <v>6875</v>
      </c>
      <c r="N3" s="42">
        <v>15169</v>
      </c>
      <c r="O3" s="42">
        <v>6021</v>
      </c>
      <c r="P3" s="42">
        <v>5449</v>
      </c>
      <c r="Q3" s="42">
        <v>6631</v>
      </c>
      <c r="R3" s="300">
        <v>12164</v>
      </c>
      <c r="S3" s="300">
        <v>5430</v>
      </c>
      <c r="U3" s="269"/>
    </row>
    <row r="4" spans="1:22" ht="15" customHeight="1">
      <c r="A4" s="33" t="s">
        <v>278</v>
      </c>
      <c r="B4" s="33" t="s">
        <v>305</v>
      </c>
      <c r="C4" s="42">
        <v>433</v>
      </c>
      <c r="D4" s="42">
        <v>0</v>
      </c>
      <c r="E4" s="42">
        <v>0</v>
      </c>
      <c r="F4" s="42">
        <v>0</v>
      </c>
      <c r="G4" s="42">
        <v>0</v>
      </c>
      <c r="H4" s="42">
        <v>0</v>
      </c>
      <c r="I4" s="42">
        <v>0</v>
      </c>
      <c r="J4" s="42">
        <v>0</v>
      </c>
      <c r="K4" s="42">
        <v>0</v>
      </c>
      <c r="L4" s="42">
        <v>0</v>
      </c>
      <c r="M4" s="42">
        <v>0</v>
      </c>
      <c r="N4" s="42">
        <v>0</v>
      </c>
      <c r="O4" s="42">
        <v>0</v>
      </c>
      <c r="P4" s="42">
        <v>0</v>
      </c>
      <c r="Q4" s="42">
        <v>0</v>
      </c>
      <c r="R4" s="300">
        <v>0</v>
      </c>
      <c r="S4" s="300">
        <v>0</v>
      </c>
      <c r="U4" s="269"/>
    </row>
    <row r="5" spans="1:22" ht="30" customHeight="1">
      <c r="A5" s="33" t="s">
        <v>266</v>
      </c>
      <c r="B5" s="33" t="s">
        <v>297</v>
      </c>
      <c r="C5" s="42">
        <v>1429</v>
      </c>
      <c r="D5" s="42">
        <v>12355</v>
      </c>
      <c r="E5" s="42">
        <v>5764</v>
      </c>
      <c r="F5" s="42">
        <v>23749</v>
      </c>
      <c r="G5" s="42">
        <v>1922</v>
      </c>
      <c r="H5" s="42">
        <v>53205</v>
      </c>
      <c r="I5" s="42">
        <v>3706</v>
      </c>
      <c r="J5" s="42">
        <v>4638</v>
      </c>
      <c r="K5" s="42">
        <v>4329</v>
      </c>
      <c r="L5" s="42">
        <v>8543</v>
      </c>
      <c r="M5" s="42">
        <v>14266</v>
      </c>
      <c r="N5" s="42">
        <v>8457</v>
      </c>
      <c r="O5" s="42">
        <v>15211</v>
      </c>
      <c r="P5" s="42">
        <v>3143</v>
      </c>
      <c r="Q5" s="42">
        <v>3970</v>
      </c>
      <c r="R5" s="300">
        <v>21693</v>
      </c>
      <c r="S5" s="300">
        <v>15668</v>
      </c>
      <c r="U5" s="269"/>
      <c r="V5" s="269"/>
    </row>
    <row r="6" spans="1:22" s="89" customFormat="1" ht="31.5" customHeight="1">
      <c r="A6" s="33" t="s">
        <v>598</v>
      </c>
      <c r="B6" s="33" t="s">
        <v>599</v>
      </c>
      <c r="C6" s="42">
        <v>0</v>
      </c>
      <c r="D6" s="42">
        <v>0</v>
      </c>
      <c r="E6" s="42">
        <v>0</v>
      </c>
      <c r="F6" s="42">
        <v>0</v>
      </c>
      <c r="G6" s="42">
        <v>0</v>
      </c>
      <c r="H6" s="42">
        <v>0</v>
      </c>
      <c r="I6" s="42">
        <v>0</v>
      </c>
      <c r="J6" s="42">
        <v>0</v>
      </c>
      <c r="K6" s="42">
        <v>0</v>
      </c>
      <c r="L6" s="42">
        <v>0</v>
      </c>
      <c r="M6" s="42">
        <v>50000</v>
      </c>
      <c r="N6" s="42">
        <v>9079</v>
      </c>
      <c r="O6" s="42">
        <v>0</v>
      </c>
      <c r="P6" s="42">
        <v>0</v>
      </c>
      <c r="Q6" s="42">
        <v>0</v>
      </c>
      <c r="R6" s="300">
        <v>0</v>
      </c>
      <c r="S6" s="300">
        <v>0</v>
      </c>
    </row>
    <row r="7" spans="1:22" ht="15" customHeight="1">
      <c r="A7" s="33" t="s">
        <v>267</v>
      </c>
      <c r="B7" s="33" t="s">
        <v>298</v>
      </c>
      <c r="C7" s="42">
        <v>952</v>
      </c>
      <c r="D7" s="42">
        <v>591</v>
      </c>
      <c r="E7" s="42">
        <v>447</v>
      </c>
      <c r="F7" s="42">
        <v>1276</v>
      </c>
      <c r="G7" s="42">
        <v>965</v>
      </c>
      <c r="H7" s="42">
        <v>588</v>
      </c>
      <c r="I7" s="42">
        <v>125</v>
      </c>
      <c r="J7" s="42">
        <v>1242</v>
      </c>
      <c r="K7" s="42">
        <v>958</v>
      </c>
      <c r="L7" s="42">
        <v>474</v>
      </c>
      <c r="M7" s="42">
        <v>741</v>
      </c>
      <c r="N7" s="42">
        <v>860</v>
      </c>
      <c r="O7" s="42">
        <v>1188</v>
      </c>
      <c r="P7" s="42">
        <v>727</v>
      </c>
      <c r="Q7" s="42">
        <v>848</v>
      </c>
      <c r="R7" s="300">
        <v>939</v>
      </c>
      <c r="S7" s="300">
        <v>1516</v>
      </c>
      <c r="U7" s="269"/>
    </row>
    <row r="8" spans="1:22" ht="30" customHeight="1">
      <c r="A8" s="33" t="s">
        <v>268</v>
      </c>
      <c r="B8" s="33" t="s">
        <v>299</v>
      </c>
      <c r="C8" s="42">
        <v>1503</v>
      </c>
      <c r="D8" s="42">
        <v>1112</v>
      </c>
      <c r="E8" s="42">
        <v>1915</v>
      </c>
      <c r="F8" s="42">
        <v>1111</v>
      </c>
      <c r="G8" s="42">
        <v>2305</v>
      </c>
      <c r="H8" s="42">
        <v>1928</v>
      </c>
      <c r="I8" s="42">
        <v>1138</v>
      </c>
      <c r="J8" s="42">
        <v>1106</v>
      </c>
      <c r="K8" s="42">
        <v>788</v>
      </c>
      <c r="L8" s="42">
        <v>5068</v>
      </c>
      <c r="M8" s="42">
        <v>1179</v>
      </c>
      <c r="N8" s="42">
        <v>550</v>
      </c>
      <c r="O8" s="42">
        <v>202</v>
      </c>
      <c r="P8" s="42">
        <v>106</v>
      </c>
      <c r="Q8" s="42">
        <v>21</v>
      </c>
      <c r="R8" s="300">
        <v>102</v>
      </c>
      <c r="S8" s="300">
        <v>39</v>
      </c>
    </row>
    <row r="9" spans="1:22" ht="30" customHeight="1">
      <c r="A9" s="33" t="s">
        <v>269</v>
      </c>
      <c r="B9" s="33" t="s">
        <v>292</v>
      </c>
      <c r="C9" s="42">
        <v>220</v>
      </c>
      <c r="D9" s="42">
        <v>-457</v>
      </c>
      <c r="E9" s="42">
        <v>1299</v>
      </c>
      <c r="F9" s="42">
        <v>10481</v>
      </c>
      <c r="G9" s="42">
        <v>44277</v>
      </c>
      <c r="H9" s="42">
        <v>-2797</v>
      </c>
      <c r="I9" s="42">
        <v>2648</v>
      </c>
      <c r="J9" s="42">
        <v>7246</v>
      </c>
      <c r="K9" s="42">
        <v>7036</v>
      </c>
      <c r="L9" s="42">
        <v>14134</v>
      </c>
      <c r="M9" s="42">
        <v>6303</v>
      </c>
      <c r="N9" s="42">
        <v>14252</v>
      </c>
      <c r="O9" s="42">
        <v>1116</v>
      </c>
      <c r="P9" s="42">
        <v>1093</v>
      </c>
      <c r="Q9" s="42">
        <v>5535</v>
      </c>
      <c r="R9" s="300">
        <v>546</v>
      </c>
      <c r="S9" s="300">
        <v>-2647</v>
      </c>
    </row>
    <row r="10" spans="1:22" ht="15" customHeight="1">
      <c r="A10" s="33" t="s">
        <v>270</v>
      </c>
      <c r="B10" s="33" t="s">
        <v>293</v>
      </c>
      <c r="C10" s="42">
        <v>362</v>
      </c>
      <c r="D10" s="42">
        <v>175</v>
      </c>
      <c r="E10" s="42">
        <v>204</v>
      </c>
      <c r="F10" s="42">
        <v>298</v>
      </c>
      <c r="G10" s="42">
        <v>1413</v>
      </c>
      <c r="H10" s="42">
        <v>268</v>
      </c>
      <c r="I10" s="42">
        <v>398</v>
      </c>
      <c r="J10" s="42">
        <v>330</v>
      </c>
      <c r="K10" s="42">
        <v>395</v>
      </c>
      <c r="L10" s="42">
        <v>198</v>
      </c>
      <c r="M10" s="42">
        <v>224</v>
      </c>
      <c r="N10" s="42">
        <v>329</v>
      </c>
      <c r="O10" s="42">
        <v>245</v>
      </c>
      <c r="P10" s="42">
        <v>151</v>
      </c>
      <c r="Q10" s="42">
        <v>230</v>
      </c>
      <c r="R10" s="300">
        <v>258</v>
      </c>
      <c r="S10" s="300">
        <v>204</v>
      </c>
    </row>
    <row r="11" spans="1:22" ht="15" customHeight="1">
      <c r="A11" s="33" t="s">
        <v>271</v>
      </c>
      <c r="B11" s="33" t="s">
        <v>294</v>
      </c>
      <c r="C11" s="42">
        <v>24131</v>
      </c>
      <c r="D11" s="42">
        <v>31</v>
      </c>
      <c r="E11" s="42">
        <v>73</v>
      </c>
      <c r="F11" s="42">
        <v>3</v>
      </c>
      <c r="G11" s="42">
        <v>0</v>
      </c>
      <c r="H11" s="42">
        <v>0</v>
      </c>
      <c r="I11" s="42">
        <v>0</v>
      </c>
      <c r="J11" s="42">
        <v>0</v>
      </c>
      <c r="K11" s="262">
        <v>0</v>
      </c>
      <c r="L11" s="262">
        <v>3</v>
      </c>
      <c r="M11" s="262">
        <v>9962</v>
      </c>
      <c r="N11" s="42">
        <v>3073</v>
      </c>
      <c r="O11" s="42">
        <v>1055</v>
      </c>
      <c r="P11" s="42">
        <v>3677</v>
      </c>
      <c r="Q11" s="42">
        <v>2225</v>
      </c>
      <c r="R11" s="300">
        <v>7260</v>
      </c>
      <c r="S11" s="300">
        <v>1391</v>
      </c>
    </row>
    <row r="12" spans="1:22" ht="15" customHeight="1">
      <c r="A12" s="34" t="s">
        <v>272</v>
      </c>
      <c r="B12" s="34" t="s">
        <v>295</v>
      </c>
      <c r="C12" s="42">
        <v>9934</v>
      </c>
      <c r="D12" s="42">
        <v>11459</v>
      </c>
      <c r="E12" s="42">
        <v>8799</v>
      </c>
      <c r="F12" s="42">
        <v>10403</v>
      </c>
      <c r="G12" s="42">
        <v>15451</v>
      </c>
      <c r="H12" s="42">
        <v>18557</v>
      </c>
      <c r="I12" s="42">
        <v>9144</v>
      </c>
      <c r="J12" s="42">
        <v>9304</v>
      </c>
      <c r="K12" s="261">
        <v>13109</v>
      </c>
      <c r="L12" s="261">
        <v>14664</v>
      </c>
      <c r="M12" s="261">
        <v>11241</v>
      </c>
      <c r="N12" s="42">
        <v>18063</v>
      </c>
      <c r="O12" s="42">
        <v>15778</v>
      </c>
      <c r="P12" s="42">
        <v>11378</v>
      </c>
      <c r="Q12" s="42">
        <v>21313</v>
      </c>
      <c r="R12" s="300">
        <v>25704</v>
      </c>
      <c r="S12" s="300">
        <f>15416+800</f>
        <v>16216</v>
      </c>
      <c r="U12" s="269"/>
    </row>
    <row r="13" spans="1:22" ht="15" customHeight="1">
      <c r="A13" s="35" t="s">
        <v>58</v>
      </c>
      <c r="B13" s="35" t="s">
        <v>43</v>
      </c>
      <c r="C13" s="43">
        <f>SUM(C3:C12)</f>
        <v>42340</v>
      </c>
      <c r="D13" s="43">
        <f t="shared" ref="D13:M13" si="0">SUM(D3:D12)</f>
        <v>32204</v>
      </c>
      <c r="E13" s="43">
        <f t="shared" si="0"/>
        <v>23671</v>
      </c>
      <c r="F13" s="43">
        <f t="shared" si="0"/>
        <v>52372</v>
      </c>
      <c r="G13" s="43">
        <f t="shared" si="0"/>
        <v>77448</v>
      </c>
      <c r="H13" s="43">
        <f t="shared" si="0"/>
        <v>76421</v>
      </c>
      <c r="I13" s="43">
        <f t="shared" si="0"/>
        <v>25814</v>
      </c>
      <c r="J13" s="43">
        <f t="shared" si="0"/>
        <v>34159</v>
      </c>
      <c r="K13" s="43">
        <f t="shared" si="0"/>
        <v>32270</v>
      </c>
      <c r="L13" s="43">
        <f t="shared" si="0"/>
        <v>50602</v>
      </c>
      <c r="M13" s="43">
        <f t="shared" si="0"/>
        <v>100791</v>
      </c>
      <c r="N13" s="43">
        <f t="shared" ref="N13:S13" si="1">SUM(N3:N12)</f>
        <v>69832</v>
      </c>
      <c r="O13" s="43">
        <f t="shared" si="1"/>
        <v>40816</v>
      </c>
      <c r="P13" s="43">
        <f t="shared" si="1"/>
        <v>25724</v>
      </c>
      <c r="Q13" s="43">
        <f t="shared" si="1"/>
        <v>40773</v>
      </c>
      <c r="R13" s="459">
        <f t="shared" si="1"/>
        <v>68666</v>
      </c>
      <c r="S13" s="459">
        <f t="shared" si="1"/>
        <v>37817</v>
      </c>
    </row>
    <row r="14" spans="1:22">
      <c r="A14" s="241"/>
      <c r="B14" s="241"/>
      <c r="C14" s="285"/>
      <c r="D14" s="285"/>
      <c r="E14" s="285"/>
      <c r="F14" s="285"/>
      <c r="G14" s="285"/>
      <c r="H14" s="285"/>
      <c r="I14" s="89"/>
      <c r="J14" s="89"/>
      <c r="K14" s="89"/>
      <c r="L14" s="89"/>
      <c r="M14" s="89"/>
    </row>
    <row r="15" spans="1:22">
      <c r="A15" s="241"/>
      <c r="B15" s="241"/>
      <c r="C15" s="241"/>
      <c r="D15" s="241"/>
      <c r="E15" s="241"/>
      <c r="F15" s="241"/>
      <c r="G15" s="281"/>
      <c r="H15" s="281"/>
      <c r="I15" s="241"/>
      <c r="J15" s="241"/>
      <c r="K15" s="271"/>
      <c r="L15" s="271"/>
    </row>
    <row r="16" spans="1:22">
      <c r="A16" s="241"/>
      <c r="B16" s="241"/>
      <c r="C16" s="241"/>
      <c r="D16" s="241"/>
      <c r="E16" s="241"/>
      <c r="F16" s="241"/>
      <c r="G16" s="281"/>
      <c r="H16" s="281"/>
      <c r="I16" s="241"/>
      <c r="J16" s="241"/>
      <c r="K16" s="270"/>
      <c r="L16" s="270"/>
    </row>
    <row r="17" spans="1:13">
      <c r="A17" s="241"/>
      <c r="B17" s="241"/>
      <c r="C17" s="241"/>
      <c r="D17" s="241"/>
      <c r="E17" s="241"/>
      <c r="F17" s="241"/>
      <c r="G17" s="284"/>
      <c r="H17" s="281"/>
      <c r="I17" s="241"/>
      <c r="J17" s="241"/>
      <c r="K17" s="241"/>
      <c r="L17" s="241"/>
    </row>
    <row r="18" spans="1:13">
      <c r="G18" s="284"/>
      <c r="H18" s="281"/>
      <c r="M18" s="269"/>
    </row>
    <row r="19" spans="1:13">
      <c r="G19" s="284"/>
      <c r="H19" s="281"/>
    </row>
    <row r="20" spans="1:13">
      <c r="G20" s="284"/>
      <c r="H20" s="281"/>
    </row>
    <row r="21" spans="1:13">
      <c r="G21" s="284"/>
      <c r="H21" s="281"/>
    </row>
    <row r="22" spans="1:13">
      <c r="G22" s="284"/>
      <c r="H22" s="281"/>
    </row>
    <row r="23" spans="1:13">
      <c r="G23" s="284"/>
      <c r="H23" s="281"/>
    </row>
    <row r="24" spans="1:13">
      <c r="G24" s="284"/>
      <c r="H24" s="281"/>
    </row>
    <row r="25" spans="1:13">
      <c r="G25" s="284"/>
      <c r="H25" s="281"/>
    </row>
    <row r="26" spans="1:13">
      <c r="G26" s="284"/>
      <c r="H26" s="281"/>
    </row>
    <row r="27" spans="1:13">
      <c r="G27" s="281"/>
      <c r="H27" s="281"/>
    </row>
    <row r="28" spans="1:13">
      <c r="G28" s="281"/>
      <c r="H28" s="281"/>
    </row>
    <row r="29" spans="1:13">
      <c r="G29" s="281"/>
      <c r="H29" s="281"/>
    </row>
    <row r="30" spans="1:13">
      <c r="G30" s="281"/>
      <c r="H30" s="281"/>
    </row>
    <row r="31" spans="1:13">
      <c r="G31" s="281"/>
      <c r="H31" s="281"/>
    </row>
    <row r="32" spans="1:13">
      <c r="G32" s="281"/>
      <c r="H32" s="281"/>
    </row>
    <row r="33" spans="7:8">
      <c r="G33" s="281"/>
      <c r="H33" s="281"/>
    </row>
    <row r="34" spans="7:8">
      <c r="G34" s="281"/>
      <c r="H34" s="281"/>
    </row>
    <row r="35" spans="7:8">
      <c r="G35" s="281"/>
      <c r="H35" s="281"/>
    </row>
    <row r="36" spans="7:8">
      <c r="G36" s="281"/>
      <c r="H36" s="281"/>
    </row>
  </sheetData>
  <customSheetViews>
    <customSheetView guid="{2A0EA35A-7F53-4AD8-895C-C234D094A4A4}">
      <selection activeCell="I20" sqref="I20"/>
      <pageMargins left="0.7" right="0.7" top="0.75" bottom="0.75" header="0.3" footer="0.3"/>
    </customSheetView>
    <customSheetView guid="{8DA78CF1-615A-4626-9893-6751995631A4}" topLeftCell="J1">
      <selection activeCell="R6" sqref="R6"/>
      <pageMargins left="0.7" right="0.7" top="0.75" bottom="0.75" header="0.3" footer="0.3"/>
    </customSheetView>
    <customSheetView guid="{899D69CD-4B7E-42BC-9944-5BD922EB798C}">
      <selection activeCell="B21" sqref="B21"/>
      <pageMargins left="0.7" right="0.7" top="0.75" bottom="0.75" header="0.3" footer="0.3"/>
      <pageSetup paperSize="9" orientation="portrait" horizontalDpi="1200" verticalDpi="1200" r:id="rId1"/>
    </customSheetView>
    <customSheetView guid="{25FAB884-5E17-4008-8139-33D910C7DEFE}">
      <selection activeCell="R22" sqref="R22"/>
      <pageMargins left="0.7" right="0.7" top="0.75" bottom="0.75" header="0.3" footer="0.3"/>
      <pageSetup paperSize="9" orientation="portrait" horizontalDpi="1200" verticalDpi="1200" r:id="rId2"/>
    </customSheetView>
    <customSheetView guid="{57267270-6A97-4850-9DB6-FE6B399379AA}" scale="110">
      <selection activeCell="H12" sqref="H12"/>
      <pageMargins left="0.7" right="0.7" top="0.75" bottom="0.75" header="0.3" footer="0.3"/>
    </customSheetView>
    <customSheetView guid="{687A4863-1825-4D63-B732-E76682E6DE4F}" showGridLines="0" topLeftCell="A2">
      <selection activeCell="E19" sqref="E19"/>
      <pageMargins left="0.7" right="0.7" top="0.75" bottom="0.75" header="0.3" footer="0.3"/>
      <pageSetup paperSize="9" orientation="portrait" horizontalDpi="1200" verticalDpi="1200" r:id="rId3"/>
    </customSheetView>
    <customSheetView guid="{9AF4A83C-CF57-4B40-8A74-6A0EA6C2FE5C}" topLeftCell="C1">
      <selection activeCell="R6" sqref="R6"/>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4"/>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5"/>
  <sheetViews>
    <sheetView workbookViewId="0">
      <selection activeCell="N26" sqref="N26"/>
    </sheetView>
  </sheetViews>
  <sheetFormatPr defaultRowHeight="15"/>
  <cols>
    <col min="1" max="1" width="44.42578125" customWidth="1"/>
    <col min="2" max="2" width="27" customWidth="1"/>
    <col min="3" max="10" width="12" customWidth="1"/>
    <col min="11" max="11" width="12" style="192" customWidth="1"/>
    <col min="12" max="13" width="12" customWidth="1"/>
    <col min="14" max="19" width="12" style="192" customWidth="1"/>
  </cols>
  <sheetData>
    <row r="2" spans="1:19" ht="15" customHeight="1" thickBot="1">
      <c r="A2" s="63" t="s">
        <v>74</v>
      </c>
      <c r="B2" s="63" t="s">
        <v>29</v>
      </c>
      <c r="C2" s="70" t="s">
        <v>165</v>
      </c>
      <c r="D2" s="70" t="s">
        <v>166</v>
      </c>
      <c r="E2" s="70" t="s">
        <v>167</v>
      </c>
      <c r="F2" s="70" t="s">
        <v>168</v>
      </c>
      <c r="G2" s="70" t="s">
        <v>169</v>
      </c>
      <c r="H2" s="70" t="s">
        <v>170</v>
      </c>
      <c r="I2" s="70" t="s">
        <v>171</v>
      </c>
      <c r="J2" s="70" t="s">
        <v>172</v>
      </c>
      <c r="K2" s="198">
        <v>43555</v>
      </c>
      <c r="L2" s="198">
        <v>43646</v>
      </c>
      <c r="M2" s="198">
        <v>43738</v>
      </c>
      <c r="N2" s="198">
        <v>43830</v>
      </c>
      <c r="O2" s="198">
        <v>43921</v>
      </c>
      <c r="P2" s="198">
        <v>44012</v>
      </c>
      <c r="Q2" s="198">
        <v>44104</v>
      </c>
      <c r="R2" s="198">
        <v>44196</v>
      </c>
      <c r="S2" s="198">
        <v>44286</v>
      </c>
    </row>
    <row r="3" spans="1:19" s="2" customFormat="1" ht="15" customHeight="1">
      <c r="A3" s="47" t="s">
        <v>286</v>
      </c>
      <c r="B3" s="47" t="s">
        <v>180</v>
      </c>
      <c r="C3" s="202">
        <f t="shared" ref="C3:K3" si="0">SUM(C4:C6)</f>
        <v>64290407</v>
      </c>
      <c r="D3" s="202">
        <f t="shared" si="0"/>
        <v>64704439</v>
      </c>
      <c r="E3" s="202">
        <f t="shared" si="0"/>
        <v>64467644</v>
      </c>
      <c r="F3" s="202">
        <f t="shared" si="0"/>
        <v>64987719</v>
      </c>
      <c r="G3" s="202">
        <f t="shared" si="0"/>
        <v>66073674</v>
      </c>
      <c r="H3" s="202">
        <f t="shared" si="0"/>
        <v>70021925</v>
      </c>
      <c r="I3" s="202">
        <f t="shared" si="0"/>
        <v>72689830</v>
      </c>
      <c r="J3" s="202">
        <f t="shared" si="0"/>
        <v>88211366</v>
      </c>
      <c r="K3" s="203">
        <f t="shared" si="0"/>
        <v>89183307</v>
      </c>
      <c r="L3" s="203">
        <f>SUM(L4:L6)</f>
        <v>90496886</v>
      </c>
      <c r="M3" s="203">
        <f>SUM(M4:M6)</f>
        <v>90362151</v>
      </c>
      <c r="N3" s="203">
        <f>N4+N5+N6</f>
        <v>91716261</v>
      </c>
      <c r="O3" s="203">
        <f t="shared" ref="O3:Q3" si="1">O4+O5+O6</f>
        <v>95861240</v>
      </c>
      <c r="P3" s="203">
        <f t="shared" si="1"/>
        <v>96477026</v>
      </c>
      <c r="Q3" s="203">
        <f t="shared" si="1"/>
        <v>96204771</v>
      </c>
      <c r="R3" s="203">
        <f t="shared" ref="R3:S3" si="2">R4+R5+R6</f>
        <v>98213401</v>
      </c>
      <c r="S3" s="203">
        <f t="shared" si="2"/>
        <v>100452994</v>
      </c>
    </row>
    <row r="4" spans="1:19" ht="15" customHeight="1">
      <c r="A4" s="65" t="s">
        <v>287</v>
      </c>
      <c r="B4" s="65" t="s">
        <v>181</v>
      </c>
      <c r="C4" s="69">
        <v>24166929</v>
      </c>
      <c r="D4" s="69">
        <v>23302583</v>
      </c>
      <c r="E4" s="69">
        <v>22826976</v>
      </c>
      <c r="F4" s="69">
        <v>21911544</v>
      </c>
      <c r="G4" s="69">
        <v>22422629</v>
      </c>
      <c r="H4" s="69">
        <v>25414208</v>
      </c>
      <c r="I4" s="69">
        <v>27585917</v>
      </c>
      <c r="J4" s="69">
        <v>32715078</v>
      </c>
      <c r="K4" s="200">
        <v>31969865</v>
      </c>
      <c r="L4" s="200">
        <v>31668319</v>
      </c>
      <c r="M4" s="200">
        <v>31030213</v>
      </c>
      <c r="N4" s="200">
        <v>29984379</v>
      </c>
      <c r="O4" s="200">
        <v>29208714</v>
      </c>
      <c r="P4" s="200">
        <v>24591366</v>
      </c>
      <c r="Q4" s="200">
        <v>21218059</v>
      </c>
      <c r="R4" s="200">
        <v>18443221</v>
      </c>
      <c r="S4" s="200">
        <v>15940497</v>
      </c>
    </row>
    <row r="5" spans="1:19" ht="15" customHeight="1">
      <c r="A5" s="65" t="s">
        <v>288</v>
      </c>
      <c r="B5" s="65" t="s">
        <v>182</v>
      </c>
      <c r="C5" s="69">
        <v>39939251</v>
      </c>
      <c r="D5" s="69">
        <v>41246523</v>
      </c>
      <c r="E5" s="69">
        <v>41468506</v>
      </c>
      <c r="F5" s="69">
        <v>42948226</v>
      </c>
      <c r="G5" s="69">
        <v>43484513</v>
      </c>
      <c r="H5" s="69">
        <v>44418447</v>
      </c>
      <c r="I5" s="69">
        <v>44943839</v>
      </c>
      <c r="J5" s="69">
        <v>55308995</v>
      </c>
      <c r="K5" s="200">
        <v>57018431</v>
      </c>
      <c r="L5" s="200">
        <v>58652428</v>
      </c>
      <c r="M5" s="200">
        <v>59144293</v>
      </c>
      <c r="N5" s="200">
        <v>61519766</v>
      </c>
      <c r="O5" s="200">
        <v>66424191</v>
      </c>
      <c r="P5" s="200">
        <v>71624997</v>
      </c>
      <c r="Q5" s="200">
        <v>74734896</v>
      </c>
      <c r="R5" s="200">
        <v>79562177</v>
      </c>
      <c r="S5" s="200">
        <v>84305696</v>
      </c>
    </row>
    <row r="6" spans="1:19" ht="15" customHeight="1">
      <c r="A6" s="65" t="s">
        <v>239</v>
      </c>
      <c r="B6" s="65" t="s">
        <v>184</v>
      </c>
      <c r="C6" s="69">
        <v>184227</v>
      </c>
      <c r="D6" s="69">
        <v>155333</v>
      </c>
      <c r="E6" s="69">
        <v>172162</v>
      </c>
      <c r="F6" s="69">
        <v>127949</v>
      </c>
      <c r="G6" s="69">
        <v>166532</v>
      </c>
      <c r="H6" s="69">
        <v>189270</v>
      </c>
      <c r="I6" s="69">
        <v>160074</v>
      </c>
      <c r="J6" s="69">
        <v>187293</v>
      </c>
      <c r="K6" s="200">
        <v>195011</v>
      </c>
      <c r="L6" s="200">
        <v>176139</v>
      </c>
      <c r="M6" s="200">
        <v>187645</v>
      </c>
      <c r="N6" s="200">
        <v>212116</v>
      </c>
      <c r="O6" s="200">
        <v>228335</v>
      </c>
      <c r="P6" s="200">
        <v>260663</v>
      </c>
      <c r="Q6" s="200">
        <v>251816</v>
      </c>
      <c r="R6" s="200">
        <v>208003</v>
      </c>
      <c r="S6" s="200">
        <v>206801</v>
      </c>
    </row>
    <row r="7" spans="1:19" ht="15" customHeight="1">
      <c r="A7" s="64" t="s">
        <v>289</v>
      </c>
      <c r="B7" s="64" t="s">
        <v>185</v>
      </c>
      <c r="C7" s="68">
        <f t="shared" ref="C7:M7" si="3">C8+C9+C10+C11+C12</f>
        <v>40057684</v>
      </c>
      <c r="D7" s="68">
        <f t="shared" si="3"/>
        <v>39623549</v>
      </c>
      <c r="E7" s="68">
        <f t="shared" si="3"/>
        <v>41377787</v>
      </c>
      <c r="F7" s="68">
        <f t="shared" si="3"/>
        <v>42170092</v>
      </c>
      <c r="G7" s="68">
        <f t="shared" si="3"/>
        <v>42883938</v>
      </c>
      <c r="H7" s="68">
        <f t="shared" si="3"/>
        <v>46928557</v>
      </c>
      <c r="I7" s="68">
        <f t="shared" si="3"/>
        <v>47487051</v>
      </c>
      <c r="J7" s="68">
        <f t="shared" si="3"/>
        <v>57493542</v>
      </c>
      <c r="K7" s="199">
        <f t="shared" si="3"/>
        <v>54023921</v>
      </c>
      <c r="L7" s="199">
        <f t="shared" si="3"/>
        <v>54682108</v>
      </c>
      <c r="M7" s="199">
        <f t="shared" si="3"/>
        <v>55600095</v>
      </c>
      <c r="N7" s="199">
        <f>N8+N9+N10+N12</f>
        <v>60281335</v>
      </c>
      <c r="O7" s="199">
        <f t="shared" ref="O7:Q7" si="4">O8+O9+O10+O12</f>
        <v>57701617</v>
      </c>
      <c r="P7" s="199">
        <f t="shared" si="4"/>
        <v>64697579</v>
      </c>
      <c r="Q7" s="199">
        <f t="shared" si="4"/>
        <v>65273187</v>
      </c>
      <c r="R7" s="199">
        <f t="shared" ref="R7:S7" si="5">R8+R9+R10+R12</f>
        <v>67954371</v>
      </c>
      <c r="S7" s="199">
        <f t="shared" si="5"/>
        <v>72799580</v>
      </c>
    </row>
    <row r="8" spans="1:19" ht="15" customHeight="1">
      <c r="A8" s="65" t="s">
        <v>288</v>
      </c>
      <c r="B8" s="65" t="s">
        <v>182</v>
      </c>
      <c r="C8" s="69">
        <v>16291067</v>
      </c>
      <c r="D8" s="69">
        <v>16351904</v>
      </c>
      <c r="E8" s="69">
        <v>17380088</v>
      </c>
      <c r="F8" s="69">
        <v>20481778</v>
      </c>
      <c r="G8" s="69">
        <v>18959388</v>
      </c>
      <c r="H8" s="69">
        <v>19066669</v>
      </c>
      <c r="I8" s="69">
        <v>19886405</v>
      </c>
      <c r="J8" s="69">
        <v>27274603</v>
      </c>
      <c r="K8" s="200">
        <v>25645926</v>
      </c>
      <c r="L8" s="200">
        <v>25428773</v>
      </c>
      <c r="M8" s="200">
        <v>26388650</v>
      </c>
      <c r="N8" s="200">
        <v>32054525</v>
      </c>
      <c r="O8" s="200">
        <v>33447919</v>
      </c>
      <c r="P8" s="200">
        <v>45388053</v>
      </c>
      <c r="Q8" s="200">
        <v>49450871</v>
      </c>
      <c r="R8" s="200">
        <v>56745875</v>
      </c>
      <c r="S8" s="200">
        <v>63087736</v>
      </c>
    </row>
    <row r="9" spans="1:19" ht="15" customHeight="1">
      <c r="A9" s="65" t="s">
        <v>287</v>
      </c>
      <c r="B9" s="65" t="s">
        <v>181</v>
      </c>
      <c r="C9" s="69">
        <v>19197466</v>
      </c>
      <c r="D9" s="69">
        <v>18941033</v>
      </c>
      <c r="E9" s="69">
        <v>19519392</v>
      </c>
      <c r="F9" s="69">
        <v>17486056</v>
      </c>
      <c r="G9" s="69">
        <v>19366894</v>
      </c>
      <c r="H9" s="69">
        <v>22805832</v>
      </c>
      <c r="I9" s="69">
        <v>23023715</v>
      </c>
      <c r="J9" s="69">
        <v>24690631</v>
      </c>
      <c r="K9" s="200">
        <v>22830997</v>
      </c>
      <c r="L9" s="200">
        <v>23503813</v>
      </c>
      <c r="M9" s="200">
        <v>23627913</v>
      </c>
      <c r="N9" s="200">
        <v>23656190</v>
      </c>
      <c r="O9" s="200">
        <v>19365716</v>
      </c>
      <c r="P9" s="200">
        <v>14986243</v>
      </c>
      <c r="Q9" s="200">
        <v>11443284</v>
      </c>
      <c r="R9" s="200">
        <v>7393581</v>
      </c>
      <c r="S9" s="200">
        <v>6079526</v>
      </c>
    </row>
    <row r="10" spans="1:19" ht="15" customHeight="1">
      <c r="A10" s="65" t="s">
        <v>669</v>
      </c>
      <c r="B10" s="65" t="e">
        <f>- credits and loans from financial institution</f>
        <v>#NAME?</v>
      </c>
      <c r="C10" s="69">
        <v>3891725</v>
      </c>
      <c r="D10" s="69">
        <v>3576636</v>
      </c>
      <c r="E10" s="69">
        <v>3723683</v>
      </c>
      <c r="F10" s="69">
        <v>3552388</v>
      </c>
      <c r="G10" s="69">
        <v>3736007</v>
      </c>
      <c r="H10" s="69">
        <v>4122912</v>
      </c>
      <c r="I10" s="69">
        <v>3800738</v>
      </c>
      <c r="J10" s="69">
        <v>4751949</v>
      </c>
      <c r="K10" s="200">
        <v>4693277</v>
      </c>
      <c r="L10" s="200">
        <v>4739342</v>
      </c>
      <c r="M10" s="200">
        <v>4550174</v>
      </c>
      <c r="N10" s="200">
        <v>3536953</v>
      </c>
      <c r="O10" s="200">
        <v>3658748</v>
      </c>
      <c r="P10" s="200">
        <v>3439191</v>
      </c>
      <c r="Q10" s="200">
        <v>3186110</v>
      </c>
      <c r="R10" s="200">
        <v>3013707</v>
      </c>
      <c r="S10" s="200">
        <v>2452297</v>
      </c>
    </row>
    <row r="11" spans="1:19" ht="15" customHeight="1">
      <c r="A11" s="65" t="s">
        <v>290</v>
      </c>
      <c r="B11" s="65" t="s">
        <v>183</v>
      </c>
      <c r="C11" s="69">
        <v>0</v>
      </c>
      <c r="D11" s="69">
        <v>0</v>
      </c>
      <c r="E11" s="69">
        <v>0</v>
      </c>
      <c r="F11" s="69">
        <v>0</v>
      </c>
      <c r="G11" s="69">
        <v>0</v>
      </c>
      <c r="H11" s="69">
        <v>0</v>
      </c>
      <c r="I11" s="69">
        <v>0</v>
      </c>
      <c r="J11" s="69">
        <v>0</v>
      </c>
      <c r="K11" s="200">
        <v>0</v>
      </c>
      <c r="L11" s="200">
        <v>0</v>
      </c>
      <c r="M11" s="200">
        <v>0</v>
      </c>
      <c r="N11" s="200">
        <v>0</v>
      </c>
      <c r="O11" s="200">
        <v>0</v>
      </c>
      <c r="P11" s="200">
        <v>0</v>
      </c>
      <c r="Q11" s="200">
        <v>0</v>
      </c>
      <c r="R11" s="200">
        <v>0</v>
      </c>
      <c r="S11" s="200"/>
    </row>
    <row r="12" spans="1:19" ht="15" customHeight="1">
      <c r="A12" s="65" t="s">
        <v>239</v>
      </c>
      <c r="B12" s="65" t="s">
        <v>184</v>
      </c>
      <c r="C12" s="69">
        <v>677426</v>
      </c>
      <c r="D12" s="69">
        <v>753976</v>
      </c>
      <c r="E12" s="69">
        <v>754624</v>
      </c>
      <c r="F12" s="69">
        <v>649870</v>
      </c>
      <c r="G12" s="69">
        <v>821649</v>
      </c>
      <c r="H12" s="69">
        <v>933144</v>
      </c>
      <c r="I12" s="69">
        <v>776193</v>
      </c>
      <c r="J12" s="69">
        <v>776359</v>
      </c>
      <c r="K12" s="200">
        <v>853721</v>
      </c>
      <c r="L12" s="200">
        <v>1010180</v>
      </c>
      <c r="M12" s="200">
        <v>1033358</v>
      </c>
      <c r="N12" s="200">
        <v>1033667</v>
      </c>
      <c r="O12" s="200">
        <v>1229234</v>
      </c>
      <c r="P12" s="200">
        <v>884092</v>
      </c>
      <c r="Q12" s="200">
        <v>1192922</v>
      </c>
      <c r="R12" s="200">
        <v>801208</v>
      </c>
      <c r="S12" s="200">
        <v>1180021</v>
      </c>
    </row>
    <row r="13" spans="1:19" ht="15" customHeight="1">
      <c r="A13" s="64" t="s">
        <v>291</v>
      </c>
      <c r="B13" s="64" t="s">
        <v>186</v>
      </c>
      <c r="C13" s="68">
        <f t="shared" ref="C13:M13" si="6">SUM(C14:C16)</f>
        <v>4104350</v>
      </c>
      <c r="D13" s="68">
        <f t="shared" si="6"/>
        <v>4783171</v>
      </c>
      <c r="E13" s="68">
        <f t="shared" si="6"/>
        <v>5177348</v>
      </c>
      <c r="F13" s="68">
        <f t="shared" si="6"/>
        <v>4323324</v>
      </c>
      <c r="G13" s="68">
        <f t="shared" si="6"/>
        <v>4618970</v>
      </c>
      <c r="H13" s="68">
        <f t="shared" si="6"/>
        <v>5073833</v>
      </c>
      <c r="I13" s="68">
        <f t="shared" si="6"/>
        <v>4452307</v>
      </c>
      <c r="J13" s="68">
        <f t="shared" si="6"/>
        <v>3911750</v>
      </c>
      <c r="K13" s="199">
        <f t="shared" si="6"/>
        <v>4538626</v>
      </c>
      <c r="L13" s="199">
        <f t="shared" si="6"/>
        <v>4496454</v>
      </c>
      <c r="M13" s="199">
        <f t="shared" si="6"/>
        <v>5064431</v>
      </c>
      <c r="N13" s="199">
        <f>N14+N15+N16</f>
        <v>4482747</v>
      </c>
      <c r="O13" s="199">
        <f t="shared" ref="O13:Q13" si="7">O14+O15+O16</f>
        <v>4193922</v>
      </c>
      <c r="P13" s="199">
        <f t="shared" si="7"/>
        <v>4714942</v>
      </c>
      <c r="Q13" s="199">
        <f t="shared" si="7"/>
        <v>5248446</v>
      </c>
      <c r="R13" s="199">
        <f t="shared" ref="R13:S13" si="8">R14+R15+R16</f>
        <v>5354483</v>
      </c>
      <c r="S13" s="199">
        <f t="shared" si="8"/>
        <v>6232071</v>
      </c>
    </row>
    <row r="14" spans="1:19" ht="15" customHeight="1">
      <c r="A14" s="65" t="s">
        <v>288</v>
      </c>
      <c r="B14" s="65" t="s">
        <v>182</v>
      </c>
      <c r="C14" s="69">
        <v>1746282</v>
      </c>
      <c r="D14" s="69">
        <v>1865859</v>
      </c>
      <c r="E14" s="69">
        <v>2166942</v>
      </c>
      <c r="F14" s="69">
        <v>2233410</v>
      </c>
      <c r="G14" s="69">
        <v>1998912</v>
      </c>
      <c r="H14" s="69">
        <v>2088270</v>
      </c>
      <c r="I14" s="69">
        <v>2246004</v>
      </c>
      <c r="J14" s="69">
        <v>2617635</v>
      </c>
      <c r="K14" s="200">
        <v>3282514</v>
      </c>
      <c r="L14" s="200">
        <v>3431396</v>
      </c>
      <c r="M14" s="200">
        <v>3560198</v>
      </c>
      <c r="N14" s="200">
        <v>3732587</v>
      </c>
      <c r="O14" s="200">
        <v>3227355</v>
      </c>
      <c r="P14" s="200">
        <v>3661692</v>
      </c>
      <c r="Q14" s="200">
        <v>4137611</v>
      </c>
      <c r="R14" s="200">
        <v>5073320</v>
      </c>
      <c r="S14" s="200">
        <v>5882012</v>
      </c>
    </row>
    <row r="15" spans="1:19" ht="15" customHeight="1">
      <c r="A15" s="65" t="s">
        <v>287</v>
      </c>
      <c r="B15" s="65" t="s">
        <v>181</v>
      </c>
      <c r="C15" s="69">
        <v>2354035</v>
      </c>
      <c r="D15" s="69">
        <v>2888521</v>
      </c>
      <c r="E15" s="69">
        <v>3006372</v>
      </c>
      <c r="F15" s="69">
        <v>2085917</v>
      </c>
      <c r="G15" s="69">
        <v>2616059</v>
      </c>
      <c r="H15" s="69">
        <v>2981535</v>
      </c>
      <c r="I15" s="69">
        <v>2202288</v>
      </c>
      <c r="J15" s="69">
        <v>1290086</v>
      </c>
      <c r="K15" s="200">
        <v>1255923</v>
      </c>
      <c r="L15" s="200">
        <v>1065014</v>
      </c>
      <c r="M15" s="200">
        <v>1504155</v>
      </c>
      <c r="N15" s="200">
        <v>750095</v>
      </c>
      <c r="O15" s="200">
        <v>966507</v>
      </c>
      <c r="P15" s="200">
        <v>1053224</v>
      </c>
      <c r="Q15" s="200">
        <v>1110789</v>
      </c>
      <c r="R15" s="200">
        <v>281162</v>
      </c>
      <c r="S15" s="200">
        <v>350058</v>
      </c>
    </row>
    <row r="16" spans="1:19" ht="15" customHeight="1">
      <c r="A16" s="65" t="s">
        <v>239</v>
      </c>
      <c r="B16" s="65" t="s">
        <v>184</v>
      </c>
      <c r="C16" s="69">
        <v>4033</v>
      </c>
      <c r="D16" s="69">
        <v>28791</v>
      </c>
      <c r="E16" s="69">
        <v>4034</v>
      </c>
      <c r="F16" s="69">
        <v>3997</v>
      </c>
      <c r="G16" s="69">
        <v>3999</v>
      </c>
      <c r="H16" s="69">
        <v>4028</v>
      </c>
      <c r="I16" s="69">
        <v>4015</v>
      </c>
      <c r="J16" s="69">
        <v>4029</v>
      </c>
      <c r="K16" s="200">
        <v>189</v>
      </c>
      <c r="L16" s="200">
        <v>44</v>
      </c>
      <c r="M16" s="200">
        <v>78</v>
      </c>
      <c r="N16" s="200">
        <v>65</v>
      </c>
      <c r="O16" s="200">
        <v>60</v>
      </c>
      <c r="P16" s="200">
        <v>26</v>
      </c>
      <c r="Q16" s="200">
        <f>47-1</f>
        <v>46</v>
      </c>
      <c r="R16" s="200">
        <v>1</v>
      </c>
      <c r="S16" s="200">
        <v>1</v>
      </c>
    </row>
    <row r="17" spans="1:19" ht="15" customHeight="1">
      <c r="A17" s="66" t="s">
        <v>58</v>
      </c>
      <c r="B17" s="66" t="s">
        <v>187</v>
      </c>
      <c r="C17" s="67">
        <f t="shared" ref="C17:M17" si="9">C3+C7+C13</f>
        <v>108452441</v>
      </c>
      <c r="D17" s="67">
        <f t="shared" si="9"/>
        <v>109111159</v>
      </c>
      <c r="E17" s="67">
        <f t="shared" si="9"/>
        <v>111022779</v>
      </c>
      <c r="F17" s="67">
        <f t="shared" si="9"/>
        <v>111481135</v>
      </c>
      <c r="G17" s="67">
        <f t="shared" si="9"/>
        <v>113576582</v>
      </c>
      <c r="H17" s="67">
        <f t="shared" si="9"/>
        <v>122024315</v>
      </c>
      <c r="I17" s="67">
        <f t="shared" si="9"/>
        <v>124629188</v>
      </c>
      <c r="J17" s="67">
        <f t="shared" si="9"/>
        <v>149616658</v>
      </c>
      <c r="K17" s="201">
        <f t="shared" si="9"/>
        <v>147745854</v>
      </c>
      <c r="L17" s="201">
        <f t="shared" si="9"/>
        <v>149675448</v>
      </c>
      <c r="M17" s="201">
        <f t="shared" si="9"/>
        <v>151026677</v>
      </c>
      <c r="N17" s="201">
        <f>N13+N7+N3</f>
        <v>156480343</v>
      </c>
      <c r="O17" s="201">
        <f t="shared" ref="O17:P17" si="10">O13+O7+O3</f>
        <v>157756779</v>
      </c>
      <c r="P17" s="201">
        <f t="shared" si="10"/>
        <v>165889547</v>
      </c>
      <c r="Q17" s="201">
        <f t="shared" ref="Q17:R17" si="11">Q13+Q7+Q3</f>
        <v>166726404</v>
      </c>
      <c r="R17" s="201">
        <f t="shared" si="11"/>
        <v>171522255</v>
      </c>
      <c r="S17" s="201">
        <f t="shared" ref="S17" si="12">S13+S7+S3</f>
        <v>179484645</v>
      </c>
    </row>
    <row r="19" spans="1:19">
      <c r="B19" s="274"/>
      <c r="C19" s="272"/>
      <c r="D19" s="272"/>
      <c r="E19" s="272"/>
      <c r="F19" s="272"/>
      <c r="G19" s="272"/>
      <c r="H19" s="272"/>
      <c r="I19" s="272"/>
      <c r="J19" s="272"/>
      <c r="K19" s="272"/>
      <c r="L19" s="272"/>
      <c r="N19" s="307"/>
      <c r="O19" s="307"/>
      <c r="P19" s="307"/>
      <c r="Q19" s="307"/>
      <c r="R19" s="307"/>
      <c r="S19" s="307"/>
    </row>
    <row r="20" spans="1:19">
      <c r="C20" s="273"/>
      <c r="D20" s="273"/>
      <c r="E20" s="273"/>
      <c r="F20" s="273"/>
      <c r="G20" s="273"/>
      <c r="H20" s="273"/>
      <c r="I20" s="273"/>
      <c r="J20" s="273"/>
      <c r="K20" s="273"/>
      <c r="L20" s="273"/>
      <c r="N20" s="308"/>
      <c r="O20" s="308"/>
      <c r="P20" s="308"/>
      <c r="Q20" s="308"/>
      <c r="R20" s="308"/>
      <c r="S20" s="308"/>
    </row>
    <row r="21" spans="1:19" s="3" customFormat="1">
      <c r="K21" s="192"/>
      <c r="N21" s="192"/>
      <c r="O21" s="192"/>
      <c r="P21" s="192"/>
      <c r="Q21" s="192"/>
      <c r="R21" s="192"/>
      <c r="S21" s="192"/>
    </row>
    <row r="23" spans="1:19">
      <c r="N23" s="308"/>
      <c r="O23" s="308"/>
      <c r="P23" s="308"/>
      <c r="Q23" s="308"/>
      <c r="R23" s="308"/>
      <c r="S23" s="308"/>
    </row>
    <row r="24" spans="1:19" s="3" customFormat="1">
      <c r="K24" s="192"/>
      <c r="N24" s="308"/>
      <c r="O24" s="308"/>
      <c r="P24" s="308"/>
      <c r="Q24" s="308"/>
      <c r="R24" s="308"/>
      <c r="S24" s="308"/>
    </row>
    <row r="25" spans="1:19" s="3" customFormat="1">
      <c r="K25" s="192"/>
      <c r="N25" s="308"/>
      <c r="O25" s="308"/>
      <c r="P25" s="308"/>
      <c r="Q25" s="308"/>
      <c r="R25" s="308"/>
      <c r="S25" s="308"/>
    </row>
  </sheetData>
  <customSheetViews>
    <customSheetView guid="{2A0EA35A-7F53-4AD8-895C-C234D094A4A4}">
      <selection activeCell="N26" sqref="N26"/>
      <pageMargins left="0.7" right="0.7" top="0.75" bottom="0.75" header="0.3" footer="0.3"/>
    </customSheetView>
    <customSheetView guid="{8DA78CF1-615A-4626-9893-6751995631A4}" topLeftCell="H1">
      <selection activeCell="P22" sqref="P22"/>
      <pageMargins left="0.7" right="0.7" top="0.75" bottom="0.75" header="0.3" footer="0.3"/>
    </customSheetView>
    <customSheetView guid="{899D69CD-4B7E-42BC-9944-5BD922EB798C}">
      <selection activeCell="E26" sqref="E26"/>
      <pageMargins left="0.7" right="0.7" top="0.75" bottom="0.75" header="0.3" footer="0.3"/>
      <pageSetup paperSize="9" orientation="portrait" r:id="rId1"/>
    </customSheetView>
    <customSheetView guid="{25FAB884-5E17-4008-8139-33D910C7DEFE}">
      <selection activeCell="H37" sqref="H37"/>
      <pageMargins left="0.7" right="0.7" top="0.75" bottom="0.75" header="0.3" footer="0.3"/>
      <pageSetup paperSize="9" orientation="portrait" r:id="rId2"/>
    </customSheetView>
    <customSheetView guid="{57267270-6A97-4850-9DB6-FE6B399379AA}" topLeftCell="B1">
      <selection activeCell="O15" sqref="O15"/>
      <pageMargins left="0.7" right="0.7" top="0.75" bottom="0.75" header="0.3" footer="0.3"/>
    </customSheetView>
    <customSheetView guid="{687A4863-1825-4D63-B732-E76682E6DE4F}" showGridLines="0">
      <selection activeCell="A20" sqref="A20"/>
      <pageMargins left="0.7" right="0.7" top="0.75" bottom="0.75" header="0.3" footer="0.3"/>
      <pageSetup paperSize="9" orientation="portrait" r:id="rId3"/>
    </customSheetView>
    <customSheetView guid="{9AF4A83C-CF57-4B40-8A74-6A0EA6C2FE5C}" topLeftCell="C1">
      <selection activeCell="L19" sqref="L19"/>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4"/>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showGridLines="0" zoomScaleNormal="72" workbookViewId="0">
      <pane xSplit="2" ySplit="1" topLeftCell="C2" activePane="bottomRight" state="frozen"/>
      <selection pane="topRight" activeCell="C1" sqref="C1"/>
      <selection pane="bottomLeft" activeCell="A2" sqref="A2"/>
      <selection pane="bottomRight" activeCell="N32" sqref="N32"/>
    </sheetView>
  </sheetViews>
  <sheetFormatPr defaultColWidth="9.140625" defaultRowHeight="12.75"/>
  <cols>
    <col min="1" max="2" width="30.85546875" style="97" customWidth="1"/>
    <col min="3" max="16" width="11.140625" style="97" customWidth="1"/>
    <col min="17" max="19" width="11.140625" style="157" customWidth="1"/>
    <col min="20" max="16384" width="9.140625" style="97"/>
  </cols>
  <sheetData>
    <row r="1" spans="1:19" ht="36.6" customHeight="1" thickBot="1">
      <c r="A1" s="63" t="s">
        <v>62</v>
      </c>
      <c r="B1" s="63" t="s">
        <v>17</v>
      </c>
      <c r="C1" s="147">
        <v>42825</v>
      </c>
      <c r="D1" s="147">
        <v>42916</v>
      </c>
      <c r="E1" s="147">
        <v>43008</v>
      </c>
      <c r="F1" s="147">
        <v>43100</v>
      </c>
      <c r="G1" s="147">
        <v>43190</v>
      </c>
      <c r="H1" s="147">
        <v>43281</v>
      </c>
      <c r="I1" s="147">
        <v>43373</v>
      </c>
      <c r="J1" s="147">
        <v>43465</v>
      </c>
      <c r="K1" s="147">
        <v>43555</v>
      </c>
      <c r="L1" s="147">
        <v>43646</v>
      </c>
      <c r="M1" s="147">
        <v>43738</v>
      </c>
      <c r="N1" s="147">
        <v>43830</v>
      </c>
      <c r="O1" s="147">
        <v>43921</v>
      </c>
      <c r="P1" s="147">
        <v>44012</v>
      </c>
      <c r="Q1" s="147">
        <v>44104</v>
      </c>
      <c r="R1" s="147">
        <v>44196</v>
      </c>
      <c r="S1" s="147">
        <v>44286</v>
      </c>
    </row>
    <row r="2" spans="1:19" ht="15" customHeight="1">
      <c r="A2" s="148" t="s">
        <v>388</v>
      </c>
      <c r="B2" s="149" t="s">
        <v>391</v>
      </c>
      <c r="C2" s="150">
        <v>619378</v>
      </c>
      <c r="D2" s="150">
        <v>7534</v>
      </c>
      <c r="E2" s="150">
        <v>504264</v>
      </c>
      <c r="F2" s="150">
        <v>850541</v>
      </c>
      <c r="G2" s="150">
        <v>356604</v>
      </c>
      <c r="H2" s="150">
        <v>10134</v>
      </c>
      <c r="I2" s="150">
        <v>138554</v>
      </c>
      <c r="J2" s="150">
        <v>1159923</v>
      </c>
      <c r="K2" s="150">
        <v>107319</v>
      </c>
      <c r="L2" s="277">
        <v>322868</v>
      </c>
      <c r="M2" s="277">
        <v>284342</v>
      </c>
      <c r="N2" s="277">
        <v>2115445</v>
      </c>
      <c r="O2" s="277">
        <f>1957501-1</f>
        <v>1957500</v>
      </c>
      <c r="P2" s="277">
        <v>1272904</v>
      </c>
      <c r="Q2" s="430">
        <v>334447</v>
      </c>
      <c r="R2" s="430">
        <v>87351</v>
      </c>
      <c r="S2" s="430">
        <v>749254</v>
      </c>
    </row>
    <row r="3" spans="1:19" ht="15" customHeight="1">
      <c r="A3" s="148" t="s">
        <v>389</v>
      </c>
      <c r="B3" s="149" t="s">
        <v>392</v>
      </c>
      <c r="C3" s="150">
        <v>1998736</v>
      </c>
      <c r="D3" s="150">
        <v>1863219</v>
      </c>
      <c r="E3" s="150">
        <v>1674779</v>
      </c>
      <c r="F3" s="150">
        <v>1285933</v>
      </c>
      <c r="G3" s="150">
        <v>1453995</v>
      </c>
      <c r="H3" s="150">
        <v>1694468</v>
      </c>
      <c r="I3" s="150">
        <v>1605492</v>
      </c>
      <c r="J3" s="150">
        <v>1776358</v>
      </c>
      <c r="K3" s="150">
        <v>1593325</v>
      </c>
      <c r="L3" s="277">
        <v>1988052</v>
      </c>
      <c r="M3" s="277">
        <v>2481925</v>
      </c>
      <c r="N3" s="277">
        <v>1601232</v>
      </c>
      <c r="O3" s="277">
        <v>3595029</v>
      </c>
      <c r="P3" s="277">
        <v>2714773</v>
      </c>
      <c r="Q3" s="430">
        <v>2636965</v>
      </c>
      <c r="R3" s="430">
        <v>2839277</v>
      </c>
      <c r="S3" s="430">
        <v>2821652</v>
      </c>
    </row>
    <row r="4" spans="1:19" s="1" customFormat="1" ht="15" customHeight="1">
      <c r="A4" s="151" t="s">
        <v>284</v>
      </c>
      <c r="B4" s="152" t="s">
        <v>178</v>
      </c>
      <c r="C4" s="153">
        <f>SUM(C2:C3)</f>
        <v>2618114</v>
      </c>
      <c r="D4" s="153">
        <f t="shared" ref="D4:L4" si="0">SUM(D2:D3)</f>
        <v>1870753</v>
      </c>
      <c r="E4" s="153">
        <f t="shared" si="0"/>
        <v>2179043</v>
      </c>
      <c r="F4" s="153">
        <f t="shared" si="0"/>
        <v>2136474</v>
      </c>
      <c r="G4" s="153">
        <f t="shared" si="0"/>
        <v>1810599</v>
      </c>
      <c r="H4" s="153">
        <f t="shared" si="0"/>
        <v>1704602</v>
      </c>
      <c r="I4" s="153">
        <f t="shared" si="0"/>
        <v>1744046</v>
      </c>
      <c r="J4" s="153">
        <f t="shared" si="0"/>
        <v>2936281</v>
      </c>
      <c r="K4" s="153">
        <f t="shared" si="0"/>
        <v>1700644</v>
      </c>
      <c r="L4" s="203">
        <f t="shared" si="0"/>
        <v>2310920</v>
      </c>
      <c r="M4" s="203">
        <f t="shared" ref="M4:R4" si="1">SUM(M2:M3)</f>
        <v>2766267</v>
      </c>
      <c r="N4" s="203">
        <f t="shared" si="1"/>
        <v>3716677</v>
      </c>
      <c r="O4" s="203">
        <f t="shared" si="1"/>
        <v>5552529</v>
      </c>
      <c r="P4" s="203">
        <f t="shared" si="1"/>
        <v>3987677</v>
      </c>
      <c r="Q4" s="431">
        <f t="shared" si="1"/>
        <v>2971412</v>
      </c>
      <c r="R4" s="431">
        <f t="shared" si="1"/>
        <v>2926628</v>
      </c>
      <c r="S4" s="431">
        <f>SUM(S2:S3)</f>
        <v>3570906</v>
      </c>
    </row>
    <row r="5" spans="1:19" ht="15" customHeight="1">
      <c r="A5" s="148" t="s">
        <v>390</v>
      </c>
      <c r="B5" s="149" t="s">
        <v>393</v>
      </c>
      <c r="C5" s="150">
        <v>0</v>
      </c>
      <c r="D5" s="150">
        <v>0</v>
      </c>
      <c r="E5" s="150">
        <v>0</v>
      </c>
      <c r="F5" s="150">
        <v>0</v>
      </c>
      <c r="G5" s="150">
        <v>0</v>
      </c>
      <c r="H5" s="150">
        <v>-67</v>
      </c>
      <c r="I5" s="150">
        <v>-71</v>
      </c>
      <c r="J5" s="150">
        <v>-67</v>
      </c>
      <c r="K5" s="150">
        <v>-67</v>
      </c>
      <c r="L5" s="277">
        <v>-84</v>
      </c>
      <c r="M5" s="277">
        <v>-86</v>
      </c>
      <c r="N5" s="277">
        <v>-95</v>
      </c>
      <c r="O5" s="277">
        <v>-102</v>
      </c>
      <c r="P5" s="277">
        <v>-102</v>
      </c>
      <c r="Q5" s="430">
        <v>-100</v>
      </c>
      <c r="R5" s="430">
        <v>-106</v>
      </c>
      <c r="S5" s="430">
        <v>-37</v>
      </c>
    </row>
    <row r="6" spans="1:19" s="1" customFormat="1" ht="15" customHeight="1">
      <c r="A6" s="93" t="s">
        <v>58</v>
      </c>
      <c r="B6" s="93" t="s">
        <v>43</v>
      </c>
      <c r="C6" s="94">
        <f>SUM(C4:C5)</f>
        <v>2618114</v>
      </c>
      <c r="D6" s="94">
        <f t="shared" ref="D6:L6" si="2">SUM(D4:D5)</f>
        <v>1870753</v>
      </c>
      <c r="E6" s="94">
        <f t="shared" si="2"/>
        <v>2179043</v>
      </c>
      <c r="F6" s="94">
        <f t="shared" si="2"/>
        <v>2136474</v>
      </c>
      <c r="G6" s="94">
        <f t="shared" si="2"/>
        <v>1810599</v>
      </c>
      <c r="H6" s="94">
        <f t="shared" si="2"/>
        <v>1704535</v>
      </c>
      <c r="I6" s="94">
        <f t="shared" si="2"/>
        <v>1743975</v>
      </c>
      <c r="J6" s="94">
        <f t="shared" si="2"/>
        <v>2936214</v>
      </c>
      <c r="K6" s="94">
        <f t="shared" si="2"/>
        <v>1700577</v>
      </c>
      <c r="L6" s="51">
        <f t="shared" si="2"/>
        <v>2310836</v>
      </c>
      <c r="M6" s="51">
        <f t="shared" ref="M6:R6" si="3">SUM(M4:M5)</f>
        <v>2766181</v>
      </c>
      <c r="N6" s="51">
        <f t="shared" si="3"/>
        <v>3716582</v>
      </c>
      <c r="O6" s="51">
        <f t="shared" si="3"/>
        <v>5552427</v>
      </c>
      <c r="P6" s="51">
        <f t="shared" si="3"/>
        <v>3987575</v>
      </c>
      <c r="Q6" s="432">
        <f t="shared" si="3"/>
        <v>2971312</v>
      </c>
      <c r="R6" s="432">
        <f t="shared" si="3"/>
        <v>2926522</v>
      </c>
      <c r="S6" s="432">
        <f t="shared" ref="S6" si="4">SUM(S4:S5)</f>
        <v>3570869</v>
      </c>
    </row>
    <row r="7" spans="1:19" s="157" customFormat="1" ht="15" customHeight="1">
      <c r="A7" s="154"/>
      <c r="B7" s="155"/>
      <c r="C7" s="156"/>
      <c r="D7" s="156"/>
      <c r="E7" s="156"/>
      <c r="F7" s="156"/>
      <c r="G7" s="156"/>
      <c r="H7" s="156"/>
      <c r="I7" s="156"/>
      <c r="J7" s="156"/>
      <c r="K7" s="156"/>
      <c r="L7" s="278"/>
      <c r="M7" s="278"/>
      <c r="N7" s="368"/>
      <c r="O7" s="368"/>
      <c r="P7" s="368"/>
      <c r="Q7" s="433"/>
      <c r="R7" s="433"/>
      <c r="S7" s="433"/>
    </row>
    <row r="8" spans="1:19" ht="15" customHeight="1" thickBot="1">
      <c r="A8" s="63" t="s">
        <v>73</v>
      </c>
      <c r="B8" s="63" t="s">
        <v>27</v>
      </c>
      <c r="C8" s="147">
        <f>C1</f>
        <v>42825</v>
      </c>
      <c r="D8" s="147">
        <f t="shared" ref="D8:L8" si="5">D1</f>
        <v>42916</v>
      </c>
      <c r="E8" s="147">
        <f t="shared" si="5"/>
        <v>43008</v>
      </c>
      <c r="F8" s="147">
        <f t="shared" si="5"/>
        <v>43100</v>
      </c>
      <c r="G8" s="147">
        <f t="shared" si="5"/>
        <v>43190</v>
      </c>
      <c r="H8" s="147">
        <f t="shared" si="5"/>
        <v>43281</v>
      </c>
      <c r="I8" s="147">
        <f t="shared" si="5"/>
        <v>43373</v>
      </c>
      <c r="J8" s="147">
        <f t="shared" si="5"/>
        <v>43465</v>
      </c>
      <c r="K8" s="147">
        <f t="shared" si="5"/>
        <v>43555</v>
      </c>
      <c r="L8" s="279">
        <f t="shared" si="5"/>
        <v>43646</v>
      </c>
      <c r="M8" s="279">
        <f t="shared" ref="M8:R8" si="6">M1</f>
        <v>43738</v>
      </c>
      <c r="N8" s="279">
        <f t="shared" si="6"/>
        <v>43830</v>
      </c>
      <c r="O8" s="279">
        <f t="shared" si="6"/>
        <v>43921</v>
      </c>
      <c r="P8" s="279">
        <f t="shared" si="6"/>
        <v>44012</v>
      </c>
      <c r="Q8" s="429">
        <f t="shared" si="6"/>
        <v>44104</v>
      </c>
      <c r="R8" s="429">
        <f t="shared" si="6"/>
        <v>44196</v>
      </c>
      <c r="S8" s="429">
        <f t="shared" ref="S8" si="7">S1</f>
        <v>44286</v>
      </c>
    </row>
    <row r="9" spans="1:19" ht="15" customHeight="1">
      <c r="A9" s="148" t="s">
        <v>394</v>
      </c>
      <c r="B9" s="149" t="s">
        <v>396</v>
      </c>
      <c r="C9" s="150">
        <v>48352</v>
      </c>
      <c r="D9" s="150">
        <v>85606</v>
      </c>
      <c r="E9" s="150">
        <v>83774</v>
      </c>
      <c r="F9" s="150">
        <v>64023</v>
      </c>
      <c r="G9" s="150">
        <v>646732</v>
      </c>
      <c r="H9" s="150">
        <v>203110</v>
      </c>
      <c r="I9" s="150">
        <v>162144</v>
      </c>
      <c r="J9" s="150">
        <v>144906</v>
      </c>
      <c r="K9" s="150">
        <v>173553</v>
      </c>
      <c r="L9" s="277">
        <v>459178</v>
      </c>
      <c r="M9" s="277">
        <v>422961</v>
      </c>
      <c r="N9" s="277">
        <v>468294</v>
      </c>
      <c r="O9" s="277">
        <v>738535</v>
      </c>
      <c r="P9" s="277">
        <v>272615</v>
      </c>
      <c r="Q9" s="430">
        <v>971036</v>
      </c>
      <c r="R9" s="430">
        <v>433629</v>
      </c>
      <c r="S9" s="430">
        <v>50213</v>
      </c>
    </row>
    <row r="10" spans="1:19" ht="15" customHeight="1">
      <c r="A10" s="148" t="s">
        <v>395</v>
      </c>
      <c r="B10" s="149" t="s">
        <v>397</v>
      </c>
      <c r="C10" s="150">
        <v>2015734</v>
      </c>
      <c r="D10" s="150">
        <v>1899123</v>
      </c>
      <c r="E10" s="150">
        <v>2003051</v>
      </c>
      <c r="F10" s="150">
        <v>1994759</v>
      </c>
      <c r="G10" s="150">
        <v>1778399</v>
      </c>
      <c r="H10" s="150">
        <v>1946265</v>
      </c>
      <c r="I10" s="150">
        <v>2322750</v>
      </c>
      <c r="J10" s="150">
        <v>1733724</v>
      </c>
      <c r="K10" s="150">
        <v>1743771</v>
      </c>
      <c r="L10" s="277">
        <v>2003749</v>
      </c>
      <c r="M10" s="277">
        <v>2264498</v>
      </c>
      <c r="N10" s="277">
        <v>3213874</v>
      </c>
      <c r="O10" s="277">
        <v>2984844</v>
      </c>
      <c r="P10" s="277">
        <v>3003980</v>
      </c>
      <c r="Q10" s="430">
        <v>1945051</v>
      </c>
      <c r="R10" s="430">
        <v>2302496</v>
      </c>
      <c r="S10" s="430">
        <v>2934282</v>
      </c>
    </row>
    <row r="11" spans="1:19" ht="15" customHeight="1">
      <c r="A11" s="148" t="s">
        <v>389</v>
      </c>
      <c r="B11" s="149" t="s">
        <v>392</v>
      </c>
      <c r="C11" s="150">
        <v>571522</v>
      </c>
      <c r="D11" s="150">
        <v>606878</v>
      </c>
      <c r="E11" s="150">
        <v>643656</v>
      </c>
      <c r="F11" s="150">
        <v>724301</v>
      </c>
      <c r="G11" s="150">
        <v>1412959</v>
      </c>
      <c r="H11" s="150">
        <v>1103211</v>
      </c>
      <c r="I11" s="150">
        <v>1161139</v>
      </c>
      <c r="J11" s="150">
        <v>954298</v>
      </c>
      <c r="K11" s="150">
        <v>1082645</v>
      </c>
      <c r="L11" s="277">
        <v>993407</v>
      </c>
      <c r="M11" s="277">
        <v>1309735</v>
      </c>
      <c r="N11" s="277">
        <v>1349576</v>
      </c>
      <c r="O11" s="277">
        <v>1669133</v>
      </c>
      <c r="P11" s="277">
        <v>2094055</v>
      </c>
      <c r="Q11" s="430">
        <v>2272766</v>
      </c>
      <c r="R11" s="430">
        <v>2637187</v>
      </c>
      <c r="S11" s="430">
        <v>2402610</v>
      </c>
    </row>
    <row r="12" spans="1:19" s="1" customFormat="1" ht="15" customHeight="1">
      <c r="A12" s="93" t="s">
        <v>58</v>
      </c>
      <c r="B12" s="93" t="s">
        <v>43</v>
      </c>
      <c r="C12" s="94">
        <f>SUM(C9:C11)</f>
        <v>2635608</v>
      </c>
      <c r="D12" s="94">
        <f t="shared" ref="D12:L12" si="8">SUM(D9:D11)</f>
        <v>2591607</v>
      </c>
      <c r="E12" s="94">
        <f t="shared" si="8"/>
        <v>2730481</v>
      </c>
      <c r="F12" s="94">
        <f t="shared" si="8"/>
        <v>2783083</v>
      </c>
      <c r="G12" s="94">
        <f t="shared" si="8"/>
        <v>3838090</v>
      </c>
      <c r="H12" s="94">
        <f t="shared" si="8"/>
        <v>3252586</v>
      </c>
      <c r="I12" s="94">
        <f t="shared" si="8"/>
        <v>3646033</v>
      </c>
      <c r="J12" s="94">
        <f t="shared" si="8"/>
        <v>2832928</v>
      </c>
      <c r="K12" s="94">
        <f t="shared" si="8"/>
        <v>2999969</v>
      </c>
      <c r="L12" s="51">
        <f t="shared" si="8"/>
        <v>3456334</v>
      </c>
      <c r="M12" s="51">
        <f t="shared" ref="M12:R12" si="9">SUM(M9:M11)</f>
        <v>3997194</v>
      </c>
      <c r="N12" s="51">
        <f t="shared" si="9"/>
        <v>5031744</v>
      </c>
      <c r="O12" s="51">
        <f t="shared" si="9"/>
        <v>5392512</v>
      </c>
      <c r="P12" s="51">
        <f t="shared" si="9"/>
        <v>5370650</v>
      </c>
      <c r="Q12" s="432">
        <f t="shared" si="9"/>
        <v>5188853</v>
      </c>
      <c r="R12" s="432">
        <f t="shared" si="9"/>
        <v>5373312</v>
      </c>
      <c r="S12" s="432">
        <f t="shared" ref="S12" si="10">SUM(S9:S11)</f>
        <v>5387105</v>
      </c>
    </row>
    <row r="13" spans="1:19">
      <c r="R13" s="460"/>
      <c r="S13" s="460"/>
    </row>
  </sheetData>
  <customSheetViews>
    <customSheetView guid="{2A0EA35A-7F53-4AD8-895C-C234D094A4A4}" showGridLines="0">
      <pane xSplit="2" ySplit="1" topLeftCell="C2" activePane="bottomRight" state="frozen"/>
      <selection pane="bottomRight" activeCell="N32" sqref="N32"/>
      <pageMargins left="0.7" right="0.7" top="0.75" bottom="0.75" header="0.3" footer="0.3"/>
      <pageSetup paperSize="9" orientation="portrait" horizontalDpi="1200" verticalDpi="1200" r:id="rId1"/>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2"/>
    </customSheetView>
    <customSheetView guid="{899D69CD-4B7E-42BC-9944-5BD922EB798C}" topLeftCell="F1">
      <selection activeCell="K24" sqref="K24"/>
      <pageMargins left="0.7" right="0.7" top="0.75" bottom="0.75" header="0.3" footer="0.3"/>
    </customSheetView>
    <customSheetView guid="{25FAB884-5E17-4008-8139-33D910C7DEFE}">
      <selection activeCell="H39" sqref="H39"/>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9AF4A83C-CF57-4B40-8A74-6A0EA6C2FE5C}" showGridLines="0">
      <pane xSplit="2" ySplit="1" topLeftCell="I2" activePane="bottomRight" state="frozen"/>
      <selection pane="bottomRight" activeCell="R11" sqref="R11"/>
      <pageMargins left="0.7" right="0.7" top="0.75" bottom="0.75" header="0.3" footer="0.3"/>
      <pageSetup paperSize="9" orientation="portrait" horizontalDpi="1200" verticalDpi="1200" r:id="rId4"/>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s>
  <pageMargins left="0.7" right="0.7" top="0.75" bottom="0.75" header="0.3" footer="0.3"/>
  <pageSetup paperSize="9" orientation="portrait" horizontalDpi="1200" verticalDpi="1200" r:id="rId5"/>
  <ignoredErrors>
    <ignoredError sqref="C4:N4"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topLeftCell="B1" workbookViewId="0">
      <selection activeCell="T18" sqref="T18"/>
    </sheetView>
  </sheetViews>
  <sheetFormatPr defaultColWidth="9.140625" defaultRowHeight="12.75"/>
  <cols>
    <col min="1" max="2" width="35.85546875" style="97" customWidth="1"/>
    <col min="3" max="20" width="10.140625" style="97" customWidth="1"/>
    <col min="21" max="16384" width="9.140625" style="97"/>
  </cols>
  <sheetData>
    <row r="1" spans="1:20" ht="13.5" thickBot="1">
      <c r="A1" s="31" t="s">
        <v>495</v>
      </c>
      <c r="B1" s="31" t="s">
        <v>499</v>
      </c>
      <c r="C1" s="147">
        <v>42825</v>
      </c>
      <c r="D1" s="147">
        <v>42916</v>
      </c>
      <c r="E1" s="147">
        <v>43008</v>
      </c>
      <c r="F1" s="147">
        <v>43100</v>
      </c>
      <c r="G1" s="147">
        <v>43101</v>
      </c>
      <c r="H1" s="147">
        <v>43190</v>
      </c>
      <c r="I1" s="147">
        <v>43281</v>
      </c>
      <c r="J1" s="147">
        <v>43373</v>
      </c>
      <c r="K1" s="147">
        <v>43465</v>
      </c>
      <c r="L1" s="147">
        <v>43555</v>
      </c>
      <c r="M1" s="147">
        <v>43646</v>
      </c>
      <c r="N1" s="147">
        <v>43738</v>
      </c>
      <c r="O1" s="147">
        <v>43830</v>
      </c>
      <c r="P1" s="147">
        <v>43921</v>
      </c>
      <c r="Q1" s="147">
        <v>44012</v>
      </c>
      <c r="R1" s="147">
        <v>44104</v>
      </c>
      <c r="S1" s="147">
        <v>44196</v>
      </c>
      <c r="T1" s="469">
        <v>44286</v>
      </c>
    </row>
    <row r="2" spans="1:20" ht="25.5">
      <c r="A2" s="159" t="s">
        <v>477</v>
      </c>
      <c r="B2" s="159" t="s">
        <v>486</v>
      </c>
      <c r="C2" s="171">
        <f>SUM(C3:C5)</f>
        <v>1742397</v>
      </c>
      <c r="D2" s="171">
        <f>SUM(D3:D5)</f>
        <v>1604253</v>
      </c>
      <c r="E2" s="171">
        <f>SUM(E3:E5)</f>
        <v>1644383</v>
      </c>
      <c r="F2" s="171">
        <f t="shared" ref="F2:K2" si="0">SUM(F3:F5)</f>
        <v>1226551</v>
      </c>
      <c r="G2" s="171">
        <f>SUM(G3:G5)</f>
        <v>1226551</v>
      </c>
      <c r="H2" s="171">
        <f t="shared" si="0"/>
        <v>1089139</v>
      </c>
      <c r="I2" s="171">
        <f t="shared" si="0"/>
        <v>1500306</v>
      </c>
      <c r="J2" s="171">
        <f t="shared" si="0"/>
        <v>941677</v>
      </c>
      <c r="K2" s="171">
        <f t="shared" si="0"/>
        <v>1081227</v>
      </c>
      <c r="L2" s="171">
        <f t="shared" ref="L2:Q2" si="1">SUM(L3:L5)</f>
        <v>1249671</v>
      </c>
      <c r="M2" s="171">
        <f t="shared" si="1"/>
        <v>1336714</v>
      </c>
      <c r="N2" s="171">
        <f t="shared" si="1"/>
        <v>1761397</v>
      </c>
      <c r="O2" s="299">
        <f t="shared" si="1"/>
        <v>1474161</v>
      </c>
      <c r="P2" s="299">
        <f t="shared" si="1"/>
        <v>3673575</v>
      </c>
      <c r="Q2" s="299">
        <f t="shared" si="1"/>
        <v>2634383</v>
      </c>
      <c r="R2" s="299">
        <f t="shared" ref="R2" si="2">SUM(R3:R5)</f>
        <v>2721848</v>
      </c>
      <c r="S2" s="299">
        <f t="shared" ref="S2" si="3">SUM(S3:S5)</f>
        <v>3003970</v>
      </c>
      <c r="T2" s="470">
        <f>SUM(T3:T5)</f>
        <v>2922529</v>
      </c>
    </row>
    <row r="3" spans="1:20">
      <c r="A3" s="160" t="s">
        <v>478</v>
      </c>
      <c r="B3" s="160" t="s">
        <v>487</v>
      </c>
      <c r="C3" s="167">
        <v>966161</v>
      </c>
      <c r="D3" s="167">
        <v>811218</v>
      </c>
      <c r="E3" s="167">
        <v>801463</v>
      </c>
      <c r="F3" s="167">
        <v>307344</v>
      </c>
      <c r="G3" s="167">
        <v>307344</v>
      </c>
      <c r="H3" s="172">
        <v>359621</v>
      </c>
      <c r="I3" s="172">
        <v>378575</v>
      </c>
      <c r="J3" s="172">
        <v>339111</v>
      </c>
      <c r="K3" s="42">
        <v>553999</v>
      </c>
      <c r="L3" s="42">
        <v>661157</v>
      </c>
      <c r="M3" s="42">
        <v>723495</v>
      </c>
      <c r="N3" s="42">
        <v>875693</v>
      </c>
      <c r="O3" s="300">
        <v>719181</v>
      </c>
      <c r="P3" s="300">
        <v>1508980</v>
      </c>
      <c r="Q3" s="300">
        <v>1754874</v>
      </c>
      <c r="R3" s="300">
        <v>1704589</v>
      </c>
      <c r="S3" s="300">
        <v>1526067</v>
      </c>
      <c r="T3" s="471">
        <v>1220504</v>
      </c>
    </row>
    <row r="4" spans="1:20" ht="25.5">
      <c r="A4" s="161" t="s">
        <v>479</v>
      </c>
      <c r="B4" s="161" t="s">
        <v>488</v>
      </c>
      <c r="C4" s="400">
        <v>13079</v>
      </c>
      <c r="D4" s="400">
        <v>12382</v>
      </c>
      <c r="E4" s="399">
        <v>8268</v>
      </c>
      <c r="F4" s="167">
        <v>6053</v>
      </c>
      <c r="G4" s="167">
        <v>6053</v>
      </c>
      <c r="H4" s="172">
        <v>6880</v>
      </c>
      <c r="I4" s="172">
        <v>6394</v>
      </c>
      <c r="J4" s="172">
        <v>6282</v>
      </c>
      <c r="K4" s="42">
        <v>3279</v>
      </c>
      <c r="L4" s="42">
        <v>2844</v>
      </c>
      <c r="M4" s="42">
        <v>3148</v>
      </c>
      <c r="N4" s="42">
        <v>1916</v>
      </c>
      <c r="O4" s="300">
        <v>1450</v>
      </c>
      <c r="P4" s="300">
        <v>85</v>
      </c>
      <c r="Q4" s="300">
        <v>0</v>
      </c>
      <c r="R4" s="300">
        <v>0</v>
      </c>
      <c r="S4" s="300">
        <v>0</v>
      </c>
      <c r="T4" s="471">
        <v>0</v>
      </c>
    </row>
    <row r="5" spans="1:20">
      <c r="A5" s="160" t="s">
        <v>480</v>
      </c>
      <c r="B5" s="160" t="s">
        <v>489</v>
      </c>
      <c r="C5" s="167">
        <v>763157</v>
      </c>
      <c r="D5" s="167">
        <v>780653</v>
      </c>
      <c r="E5" s="167">
        <v>834652</v>
      </c>
      <c r="F5" s="167">
        <v>913154</v>
      </c>
      <c r="G5" s="167">
        <v>913154</v>
      </c>
      <c r="H5" s="172">
        <v>722638</v>
      </c>
      <c r="I5" s="172">
        <v>1115337</v>
      </c>
      <c r="J5" s="172">
        <v>596284</v>
      </c>
      <c r="K5" s="42">
        <v>523949</v>
      </c>
      <c r="L5" s="42">
        <v>585670</v>
      </c>
      <c r="M5" s="42">
        <v>610071</v>
      </c>
      <c r="N5" s="42">
        <v>883788</v>
      </c>
      <c r="O5" s="300">
        <v>753530</v>
      </c>
      <c r="P5" s="300">
        <v>2164510</v>
      </c>
      <c r="Q5" s="300">
        <v>879509</v>
      </c>
      <c r="R5" s="300">
        <v>1017259</v>
      </c>
      <c r="S5" s="300">
        <v>1477903</v>
      </c>
      <c r="T5" s="471">
        <v>1702025</v>
      </c>
    </row>
    <row r="6" spans="1:20">
      <c r="A6" s="162" t="s">
        <v>481</v>
      </c>
      <c r="B6" s="162" t="s">
        <v>490</v>
      </c>
      <c r="C6" s="173">
        <f>C7+C14</f>
        <v>745727</v>
      </c>
      <c r="D6" s="173">
        <f>D7+D14</f>
        <v>234987</v>
      </c>
      <c r="E6" s="173">
        <f t="shared" ref="E6:K6" si="4">E7+E14</f>
        <v>482164</v>
      </c>
      <c r="F6" s="171">
        <f t="shared" si="4"/>
        <v>203211</v>
      </c>
      <c r="G6" s="171">
        <f>G7+G14</f>
        <v>203211</v>
      </c>
      <c r="H6" s="171">
        <f t="shared" si="4"/>
        <v>139534</v>
      </c>
      <c r="I6" s="171">
        <f t="shared" si="4"/>
        <v>126703</v>
      </c>
      <c r="J6" s="171">
        <f t="shared" si="4"/>
        <v>242267</v>
      </c>
      <c r="K6" s="171">
        <f t="shared" si="4"/>
        <v>105636</v>
      </c>
      <c r="L6" s="171">
        <f>L7+L14</f>
        <v>157815</v>
      </c>
      <c r="M6" s="171">
        <f>M7+M14</f>
        <v>183443</v>
      </c>
      <c r="N6" s="171">
        <f>N7+N14</f>
        <v>999378</v>
      </c>
      <c r="O6" s="299">
        <f>O7+O14</f>
        <v>584347</v>
      </c>
      <c r="P6" s="299">
        <f t="shared" ref="P6:Q6" si="5">P7+P14</f>
        <v>228800</v>
      </c>
      <c r="Q6" s="299">
        <f t="shared" si="5"/>
        <v>86001</v>
      </c>
      <c r="R6" s="299">
        <f t="shared" ref="R6" si="6">R7+R14</f>
        <v>1975833</v>
      </c>
      <c r="S6" s="299">
        <f t="shared" ref="S6" si="7">S7+S14</f>
        <v>178799</v>
      </c>
      <c r="T6" s="470">
        <f>T7+T14</f>
        <v>199461</v>
      </c>
    </row>
    <row r="7" spans="1:20">
      <c r="A7" s="163" t="s">
        <v>482</v>
      </c>
      <c r="B7" s="163" t="s">
        <v>491</v>
      </c>
      <c r="C7" s="171">
        <f>C8+C10+C12</f>
        <v>716181</v>
      </c>
      <c r="D7" s="171">
        <f t="shared" ref="D7:N7" si="8">D8+D10+D12</f>
        <v>203709</v>
      </c>
      <c r="E7" s="171">
        <f t="shared" si="8"/>
        <v>421096</v>
      </c>
      <c r="F7" s="171">
        <f t="shared" si="8"/>
        <v>187750</v>
      </c>
      <c r="G7" s="171">
        <f>G8+G10+G12</f>
        <v>187750</v>
      </c>
      <c r="H7" s="171">
        <f t="shared" si="8"/>
        <v>113823</v>
      </c>
      <c r="I7" s="171">
        <f t="shared" si="8"/>
        <v>100986</v>
      </c>
      <c r="J7" s="171">
        <f t="shared" si="8"/>
        <v>224861</v>
      </c>
      <c r="K7" s="171">
        <f t="shared" si="8"/>
        <v>88735</v>
      </c>
      <c r="L7" s="171">
        <f t="shared" si="8"/>
        <v>136366</v>
      </c>
      <c r="M7" s="171">
        <f t="shared" si="8"/>
        <v>152273</v>
      </c>
      <c r="N7" s="171">
        <f t="shared" si="8"/>
        <v>981011</v>
      </c>
      <c r="O7" s="299">
        <f>O8+O10+O12</f>
        <v>546607</v>
      </c>
      <c r="P7" s="299">
        <f t="shared" ref="P7:Q7" si="9">P8+P10+P12</f>
        <v>224172</v>
      </c>
      <c r="Q7" s="299">
        <f t="shared" si="9"/>
        <v>72346</v>
      </c>
      <c r="R7" s="299">
        <f t="shared" ref="R7" si="10">R8+R10+R12</f>
        <v>1943664</v>
      </c>
      <c r="S7" s="299">
        <f t="shared" ref="S7" si="11">S8+S10+S12</f>
        <v>147405</v>
      </c>
      <c r="T7" s="470">
        <f>T8+T10+T12</f>
        <v>169483</v>
      </c>
    </row>
    <row r="8" spans="1:20">
      <c r="A8" s="160" t="s">
        <v>334</v>
      </c>
      <c r="B8" s="160" t="s">
        <v>344</v>
      </c>
      <c r="C8" s="42">
        <f t="shared" ref="C8:K8" si="12">C9</f>
        <v>715689</v>
      </c>
      <c r="D8" s="42">
        <f t="shared" si="12"/>
        <v>202369</v>
      </c>
      <c r="E8" s="42">
        <f t="shared" si="12"/>
        <v>419329</v>
      </c>
      <c r="F8" s="42">
        <f t="shared" si="12"/>
        <v>183702</v>
      </c>
      <c r="G8" s="42">
        <f t="shared" si="12"/>
        <v>183702</v>
      </c>
      <c r="H8" s="42">
        <f t="shared" si="12"/>
        <v>110112</v>
      </c>
      <c r="I8" s="42">
        <f t="shared" si="12"/>
        <v>95922</v>
      </c>
      <c r="J8" s="42">
        <f t="shared" si="12"/>
        <v>220292</v>
      </c>
      <c r="K8" s="42">
        <f t="shared" si="12"/>
        <v>84552</v>
      </c>
      <c r="L8" s="42">
        <f t="shared" ref="L8:S8" si="13">L9</f>
        <v>131731</v>
      </c>
      <c r="M8" s="42">
        <f t="shared" si="13"/>
        <v>147485</v>
      </c>
      <c r="N8" s="42">
        <f t="shared" si="13"/>
        <v>236425</v>
      </c>
      <c r="O8" s="300">
        <f t="shared" si="13"/>
        <v>391616</v>
      </c>
      <c r="P8" s="300">
        <f t="shared" si="13"/>
        <v>215475</v>
      </c>
      <c r="Q8" s="300">
        <f t="shared" si="13"/>
        <v>59240</v>
      </c>
      <c r="R8" s="300">
        <f t="shared" si="13"/>
        <v>185724</v>
      </c>
      <c r="S8" s="300">
        <f t="shared" si="13"/>
        <v>132109</v>
      </c>
      <c r="T8" s="471">
        <f>T9</f>
        <v>150641</v>
      </c>
    </row>
    <row r="9" spans="1:20" ht="12.75" customHeight="1">
      <c r="A9" s="160" t="s">
        <v>335</v>
      </c>
      <c r="B9" s="160" t="s">
        <v>345</v>
      </c>
      <c r="C9" s="42">
        <v>715689</v>
      </c>
      <c r="D9" s="42">
        <v>202369</v>
      </c>
      <c r="E9" s="42">
        <v>419329</v>
      </c>
      <c r="F9" s="167">
        <v>183702</v>
      </c>
      <c r="G9" s="167">
        <v>183702</v>
      </c>
      <c r="H9" s="172">
        <v>110112</v>
      </c>
      <c r="I9" s="172">
        <v>95922</v>
      </c>
      <c r="J9" s="172">
        <v>220292</v>
      </c>
      <c r="K9" s="42">
        <v>84552</v>
      </c>
      <c r="L9" s="42">
        <v>131731</v>
      </c>
      <c r="M9" s="42">
        <v>147485</v>
      </c>
      <c r="N9" s="42">
        <v>236425</v>
      </c>
      <c r="O9" s="300">
        <v>391616</v>
      </c>
      <c r="P9" s="300">
        <v>215475</v>
      </c>
      <c r="Q9" s="300">
        <v>59240</v>
      </c>
      <c r="R9" s="300">
        <v>185724</v>
      </c>
      <c r="S9" s="300">
        <v>132109</v>
      </c>
      <c r="T9" s="471">
        <v>150641</v>
      </c>
    </row>
    <row r="10" spans="1:20" s="169" customFormat="1">
      <c r="A10" s="160" t="s">
        <v>336</v>
      </c>
      <c r="B10" s="160" t="s">
        <v>346</v>
      </c>
      <c r="C10" s="42">
        <f>C11</f>
        <v>0</v>
      </c>
      <c r="D10" s="42">
        <f t="shared" ref="D10:N10" si="14">D11</f>
        <v>0</v>
      </c>
      <c r="E10" s="42">
        <f t="shared" si="14"/>
        <v>0</v>
      </c>
      <c r="F10" s="42">
        <f t="shared" si="14"/>
        <v>0</v>
      </c>
      <c r="G10" s="42">
        <f t="shared" si="14"/>
        <v>0</v>
      </c>
      <c r="H10" s="42">
        <f t="shared" si="14"/>
        <v>0</v>
      </c>
      <c r="I10" s="42">
        <f t="shared" si="14"/>
        <v>0</v>
      </c>
      <c r="J10" s="42">
        <f t="shared" si="14"/>
        <v>0</v>
      </c>
      <c r="K10" s="42">
        <f t="shared" si="14"/>
        <v>0</v>
      </c>
      <c r="L10" s="42">
        <f t="shared" si="14"/>
        <v>0</v>
      </c>
      <c r="M10" s="42">
        <f t="shared" si="14"/>
        <v>0</v>
      </c>
      <c r="N10" s="42">
        <f t="shared" si="14"/>
        <v>739907</v>
      </c>
      <c r="O10" s="301">
        <f t="shared" ref="O10:T10" si="15">O11</f>
        <v>149987</v>
      </c>
      <c r="P10" s="301">
        <f t="shared" si="15"/>
        <v>0</v>
      </c>
      <c r="Q10" s="301">
        <f t="shared" si="15"/>
        <v>0</v>
      </c>
      <c r="R10" s="301">
        <f t="shared" si="15"/>
        <v>0</v>
      </c>
      <c r="S10" s="301">
        <f t="shared" si="15"/>
        <v>0</v>
      </c>
      <c r="T10" s="472">
        <f t="shared" si="15"/>
        <v>0</v>
      </c>
    </row>
    <row r="11" spans="1:20" s="169" customFormat="1">
      <c r="A11" s="160" t="s">
        <v>337</v>
      </c>
      <c r="B11" s="160" t="s">
        <v>347</v>
      </c>
      <c r="C11" s="42">
        <v>0</v>
      </c>
      <c r="D11" s="42">
        <v>0</v>
      </c>
      <c r="E11" s="42">
        <v>0</v>
      </c>
      <c r="F11" s="42">
        <v>0</v>
      </c>
      <c r="G11" s="42">
        <v>0</v>
      </c>
      <c r="H11" s="42">
        <v>0</v>
      </c>
      <c r="I11" s="42">
        <v>0</v>
      </c>
      <c r="J11" s="42">
        <v>0</v>
      </c>
      <c r="K11" s="42">
        <v>0</v>
      </c>
      <c r="L11" s="42">
        <v>0</v>
      </c>
      <c r="M11" s="42">
        <v>0</v>
      </c>
      <c r="N11" s="42">
        <v>739907</v>
      </c>
      <c r="O11" s="300">
        <v>149987</v>
      </c>
      <c r="P11" s="300">
        <v>0</v>
      </c>
      <c r="Q11" s="300">
        <v>0</v>
      </c>
      <c r="R11" s="300">
        <v>0</v>
      </c>
      <c r="S11" s="300">
        <v>0</v>
      </c>
      <c r="T11" s="472">
        <v>0</v>
      </c>
    </row>
    <row r="12" spans="1:20">
      <c r="A12" s="160" t="s">
        <v>483</v>
      </c>
      <c r="B12" s="160" t="s">
        <v>492</v>
      </c>
      <c r="C12" s="42">
        <f t="shared" ref="C12:K12" si="16">C13</f>
        <v>492</v>
      </c>
      <c r="D12" s="42">
        <f t="shared" si="16"/>
        <v>1340</v>
      </c>
      <c r="E12" s="42">
        <f t="shared" si="16"/>
        <v>1767</v>
      </c>
      <c r="F12" s="42">
        <f t="shared" si="16"/>
        <v>4048</v>
      </c>
      <c r="G12" s="42">
        <f t="shared" si="16"/>
        <v>4048</v>
      </c>
      <c r="H12" s="42">
        <f t="shared" si="16"/>
        <v>3711</v>
      </c>
      <c r="I12" s="42">
        <f t="shared" si="16"/>
        <v>5064</v>
      </c>
      <c r="J12" s="42">
        <f t="shared" si="16"/>
        <v>4569</v>
      </c>
      <c r="K12" s="42">
        <f t="shared" si="16"/>
        <v>4183</v>
      </c>
      <c r="L12" s="42">
        <f t="shared" ref="L12:S12" si="17">L13</f>
        <v>4635</v>
      </c>
      <c r="M12" s="42">
        <f t="shared" si="17"/>
        <v>4788</v>
      </c>
      <c r="N12" s="42">
        <f t="shared" si="17"/>
        <v>4679</v>
      </c>
      <c r="O12" s="300">
        <f t="shared" si="17"/>
        <v>5004</v>
      </c>
      <c r="P12" s="300">
        <f t="shared" si="17"/>
        <v>8697</v>
      </c>
      <c r="Q12" s="300">
        <f t="shared" si="17"/>
        <v>13106</v>
      </c>
      <c r="R12" s="300">
        <f t="shared" si="17"/>
        <v>1757940</v>
      </c>
      <c r="S12" s="300">
        <f t="shared" si="17"/>
        <v>15296</v>
      </c>
      <c r="T12" s="471">
        <f>T13</f>
        <v>18842</v>
      </c>
    </row>
    <row r="13" spans="1:20">
      <c r="A13" s="160" t="s">
        <v>335</v>
      </c>
      <c r="B13" s="160" t="s">
        <v>345</v>
      </c>
      <c r="C13" s="42">
        <v>492</v>
      </c>
      <c r="D13" s="42">
        <v>1340</v>
      </c>
      <c r="E13" s="42">
        <v>1767</v>
      </c>
      <c r="F13" s="167">
        <v>4048</v>
      </c>
      <c r="G13" s="167">
        <v>4048</v>
      </c>
      <c r="H13" s="172">
        <v>3711</v>
      </c>
      <c r="I13" s="172">
        <v>5064</v>
      </c>
      <c r="J13" s="172">
        <v>4569</v>
      </c>
      <c r="K13" s="42">
        <v>4183</v>
      </c>
      <c r="L13" s="42">
        <v>4635</v>
      </c>
      <c r="M13" s="42">
        <v>4788</v>
      </c>
      <c r="N13" s="42">
        <v>4679</v>
      </c>
      <c r="O13" s="300">
        <v>5004</v>
      </c>
      <c r="P13" s="300">
        <v>8697</v>
      </c>
      <c r="Q13" s="300">
        <v>13106</v>
      </c>
      <c r="R13" s="300">
        <v>1757940</v>
      </c>
      <c r="S13" s="300">
        <v>15296</v>
      </c>
      <c r="T13" s="471">
        <v>18842</v>
      </c>
    </row>
    <row r="14" spans="1:20">
      <c r="A14" s="163" t="s">
        <v>484</v>
      </c>
      <c r="B14" s="163" t="s">
        <v>493</v>
      </c>
      <c r="C14" s="171">
        <v>29546</v>
      </c>
      <c r="D14" s="171">
        <v>31278</v>
      </c>
      <c r="E14" s="171">
        <v>61068</v>
      </c>
      <c r="F14" s="168">
        <v>15461</v>
      </c>
      <c r="G14" s="168">
        <v>15461</v>
      </c>
      <c r="H14" s="174">
        <v>25711</v>
      </c>
      <c r="I14" s="174">
        <v>25717</v>
      </c>
      <c r="J14" s="174">
        <v>17406</v>
      </c>
      <c r="K14" s="171">
        <v>16901</v>
      </c>
      <c r="L14" s="171">
        <v>21449</v>
      </c>
      <c r="M14" s="171">
        <v>31170</v>
      </c>
      <c r="N14" s="171">
        <v>18367</v>
      </c>
      <c r="O14" s="299">
        <v>37740</v>
      </c>
      <c r="P14" s="299">
        <v>4628</v>
      </c>
      <c r="Q14" s="299">
        <v>13655</v>
      </c>
      <c r="R14" s="299">
        <v>32169</v>
      </c>
      <c r="S14" s="299">
        <v>31394</v>
      </c>
      <c r="T14" s="470">
        <v>29978</v>
      </c>
    </row>
    <row r="15" spans="1:20">
      <c r="A15" s="165" t="s">
        <v>496</v>
      </c>
      <c r="B15" s="165" t="s">
        <v>500</v>
      </c>
      <c r="C15" s="166">
        <f>C2+C6</f>
        <v>2488124</v>
      </c>
      <c r="D15" s="166">
        <f t="shared" ref="D15:L15" si="18">D2+D6</f>
        <v>1839240</v>
      </c>
      <c r="E15" s="166">
        <f t="shared" si="18"/>
        <v>2126547</v>
      </c>
      <c r="F15" s="166">
        <f t="shared" si="18"/>
        <v>1429762</v>
      </c>
      <c r="G15" s="166">
        <f>G2+G6</f>
        <v>1429762</v>
      </c>
      <c r="H15" s="166">
        <f t="shared" si="18"/>
        <v>1228673</v>
      </c>
      <c r="I15" s="166">
        <f t="shared" si="18"/>
        <v>1627009</v>
      </c>
      <c r="J15" s="166">
        <f t="shared" si="18"/>
        <v>1183944</v>
      </c>
      <c r="K15" s="166">
        <f t="shared" si="18"/>
        <v>1186863</v>
      </c>
      <c r="L15" s="166">
        <f t="shared" si="18"/>
        <v>1407486</v>
      </c>
      <c r="M15" s="166">
        <f t="shared" ref="M15:R15" si="19">M2+M6</f>
        <v>1520157</v>
      </c>
      <c r="N15" s="166">
        <f t="shared" si="19"/>
        <v>2760775</v>
      </c>
      <c r="O15" s="302">
        <f t="shared" si="19"/>
        <v>2058508</v>
      </c>
      <c r="P15" s="302">
        <f t="shared" si="19"/>
        <v>3902375</v>
      </c>
      <c r="Q15" s="302">
        <f t="shared" si="19"/>
        <v>2720384</v>
      </c>
      <c r="R15" s="302">
        <f t="shared" si="19"/>
        <v>4697681</v>
      </c>
      <c r="S15" s="302">
        <f t="shared" ref="S15" si="20">S2+S6</f>
        <v>3182769</v>
      </c>
      <c r="T15" s="473">
        <f>T2+T6</f>
        <v>3121990</v>
      </c>
    </row>
    <row r="16" spans="1:20">
      <c r="A16" s="177"/>
      <c r="B16" s="177"/>
      <c r="C16" s="181"/>
      <c r="D16" s="181"/>
      <c r="E16" s="181"/>
      <c r="F16" s="181"/>
      <c r="G16" s="181"/>
      <c r="H16" s="181"/>
      <c r="I16" s="181"/>
      <c r="J16" s="181"/>
      <c r="K16" s="181"/>
      <c r="L16" s="181"/>
      <c r="M16" s="181"/>
      <c r="N16" s="181"/>
      <c r="O16" s="181"/>
      <c r="P16" s="181"/>
      <c r="Q16" s="443"/>
      <c r="R16" s="443"/>
      <c r="S16" s="443"/>
      <c r="T16" s="474"/>
    </row>
    <row r="17" spans="1:20">
      <c r="A17" s="177"/>
      <c r="B17" s="177"/>
      <c r="C17" s="178"/>
      <c r="D17" s="178"/>
      <c r="E17" s="178"/>
      <c r="F17" s="178"/>
      <c r="G17" s="178"/>
      <c r="H17" s="178"/>
      <c r="I17" s="178"/>
      <c r="J17" s="178"/>
      <c r="K17" s="178"/>
      <c r="L17" s="178"/>
    </row>
    <row r="18" spans="1:20" ht="26.25" thickBot="1">
      <c r="A18" s="31" t="s">
        <v>507</v>
      </c>
      <c r="B18" s="31" t="s">
        <v>512</v>
      </c>
      <c r="C18" s="147">
        <v>42825</v>
      </c>
      <c r="D18" s="147">
        <v>42916</v>
      </c>
      <c r="E18" s="147">
        <v>43008</v>
      </c>
      <c r="F18" s="147">
        <v>43100</v>
      </c>
      <c r="G18" s="147">
        <v>43101</v>
      </c>
      <c r="H18" s="147">
        <v>43190</v>
      </c>
      <c r="I18" s="147">
        <v>43281</v>
      </c>
      <c r="J18" s="147">
        <v>43373</v>
      </c>
      <c r="K18" s="147">
        <v>43465</v>
      </c>
      <c r="L18" s="147">
        <v>43555</v>
      </c>
      <c r="M18" s="147">
        <f t="shared" ref="M18:R18" si="21">M1</f>
        <v>43646</v>
      </c>
      <c r="N18" s="147">
        <f t="shared" si="21"/>
        <v>43738</v>
      </c>
      <c r="O18" s="147">
        <f t="shared" si="21"/>
        <v>43830</v>
      </c>
      <c r="P18" s="147">
        <f t="shared" si="21"/>
        <v>43921</v>
      </c>
      <c r="Q18" s="147">
        <f t="shared" si="21"/>
        <v>44012</v>
      </c>
      <c r="R18" s="147">
        <f t="shared" si="21"/>
        <v>44104</v>
      </c>
      <c r="S18" s="147">
        <f t="shared" ref="S18" si="22">S1</f>
        <v>44196</v>
      </c>
      <c r="T18" s="147">
        <f>T1</f>
        <v>44286</v>
      </c>
    </row>
    <row r="19" spans="1:20" ht="25.5">
      <c r="A19" s="180" t="s">
        <v>503</v>
      </c>
      <c r="B19" s="160" t="s">
        <v>509</v>
      </c>
      <c r="C19" s="172">
        <v>1254</v>
      </c>
      <c r="D19" s="172">
        <v>1031</v>
      </c>
      <c r="E19" s="172">
        <v>2356</v>
      </c>
      <c r="F19" s="172">
        <v>2283</v>
      </c>
      <c r="G19" s="172">
        <v>2283</v>
      </c>
      <c r="H19" s="172">
        <v>281</v>
      </c>
      <c r="I19" s="172">
        <v>277</v>
      </c>
      <c r="J19" s="172">
        <v>1084</v>
      </c>
      <c r="K19" s="172">
        <v>312</v>
      </c>
      <c r="L19" s="172">
        <v>139</v>
      </c>
      <c r="M19" s="172">
        <v>1241</v>
      </c>
      <c r="N19" s="172">
        <v>8</v>
      </c>
      <c r="O19" s="300">
        <v>2880</v>
      </c>
      <c r="P19" s="300">
        <v>0</v>
      </c>
      <c r="Q19" s="300">
        <v>0</v>
      </c>
      <c r="R19" s="300">
        <v>1064</v>
      </c>
      <c r="S19" s="300">
        <v>754</v>
      </c>
      <c r="T19" s="471">
        <v>1381</v>
      </c>
    </row>
    <row r="20" spans="1:20" ht="25.5">
      <c r="A20" s="161" t="s">
        <v>504</v>
      </c>
      <c r="B20" s="161" t="s">
        <v>510</v>
      </c>
      <c r="C20" s="179">
        <v>109535</v>
      </c>
      <c r="D20" s="179">
        <v>88080</v>
      </c>
      <c r="E20" s="179">
        <v>112787</v>
      </c>
      <c r="F20" s="179">
        <v>215778</v>
      </c>
      <c r="G20" s="179">
        <v>215778</v>
      </c>
      <c r="H20" s="179">
        <v>186168</v>
      </c>
      <c r="I20" s="179">
        <v>90344</v>
      </c>
      <c r="J20" s="179">
        <v>110016</v>
      </c>
      <c r="K20" s="179">
        <v>72909</v>
      </c>
      <c r="L20" s="179">
        <v>76243</v>
      </c>
      <c r="M20" s="179">
        <v>94165</v>
      </c>
      <c r="N20" s="179">
        <v>38952</v>
      </c>
      <c r="O20" s="303">
        <v>41093</v>
      </c>
      <c r="P20" s="303">
        <v>22023</v>
      </c>
      <c r="Q20" s="415">
        <v>30546</v>
      </c>
      <c r="R20" s="415">
        <v>31570</v>
      </c>
      <c r="S20" s="415">
        <v>6900</v>
      </c>
      <c r="T20" s="475">
        <v>5055</v>
      </c>
    </row>
    <row r="21" spans="1:20">
      <c r="A21" s="165" t="s">
        <v>505</v>
      </c>
      <c r="B21" s="165" t="s">
        <v>506</v>
      </c>
      <c r="C21" s="166">
        <f>C19+C20</f>
        <v>110789</v>
      </c>
      <c r="D21" s="166">
        <f t="shared" ref="D21:L21" si="23">D19+D20</f>
        <v>89111</v>
      </c>
      <c r="E21" s="166">
        <f t="shared" si="23"/>
        <v>115143</v>
      </c>
      <c r="F21" s="166">
        <f t="shared" si="23"/>
        <v>218061</v>
      </c>
      <c r="G21" s="166">
        <f>G19+G20</f>
        <v>218061</v>
      </c>
      <c r="H21" s="166">
        <f t="shared" si="23"/>
        <v>186449</v>
      </c>
      <c r="I21" s="166">
        <f t="shared" si="23"/>
        <v>90621</v>
      </c>
      <c r="J21" s="166">
        <f t="shared" si="23"/>
        <v>111100</v>
      </c>
      <c r="K21" s="166">
        <f t="shared" si="23"/>
        <v>73221</v>
      </c>
      <c r="L21" s="166">
        <f t="shared" si="23"/>
        <v>76382</v>
      </c>
      <c r="M21" s="166">
        <f t="shared" ref="M21:R21" si="24">M19+M20</f>
        <v>95406</v>
      </c>
      <c r="N21" s="166">
        <f t="shared" si="24"/>
        <v>38960</v>
      </c>
      <c r="O21" s="166">
        <f t="shared" si="24"/>
        <v>43973</v>
      </c>
      <c r="P21" s="166">
        <f t="shared" si="24"/>
        <v>22023</v>
      </c>
      <c r="Q21" s="166">
        <f t="shared" si="24"/>
        <v>30546</v>
      </c>
      <c r="R21" s="166">
        <f t="shared" si="24"/>
        <v>32634</v>
      </c>
      <c r="S21" s="166">
        <f t="shared" ref="S21" si="25">S19+S20</f>
        <v>7654</v>
      </c>
      <c r="T21" s="473">
        <f>T19+T20</f>
        <v>6436</v>
      </c>
    </row>
    <row r="22" spans="1:20">
      <c r="A22" s="177"/>
      <c r="B22" s="177"/>
      <c r="C22" s="338">
        <f>C15+C21-BS!D5</f>
        <v>0</v>
      </c>
      <c r="D22" s="338">
        <f>D15+D21-BS!E5</f>
        <v>0</v>
      </c>
      <c r="E22" s="338">
        <f>E15+E21-BS!F5</f>
        <v>0</v>
      </c>
      <c r="F22" s="338">
        <f>F15+F21-BS!G5</f>
        <v>0</v>
      </c>
      <c r="G22" s="338"/>
      <c r="H22" s="338">
        <f>H15+H21-BS!I5</f>
        <v>0</v>
      </c>
      <c r="I22" s="338">
        <f>I15+I21-BS!J5</f>
        <v>0</v>
      </c>
      <c r="J22" s="338">
        <f>J15+J21-BS!K5</f>
        <v>0</v>
      </c>
      <c r="K22" s="338">
        <f>K15+K21-BS!L5</f>
        <v>0</v>
      </c>
      <c r="L22" s="338">
        <f>L15+L21-BS!M5</f>
        <v>0</v>
      </c>
      <c r="M22" s="338">
        <f>M15+M21-BS!N5</f>
        <v>0</v>
      </c>
      <c r="N22" s="338">
        <f>N15+N21-BS!O5</f>
        <v>0</v>
      </c>
      <c r="O22" s="338">
        <f>O15+O21-BS!P5</f>
        <v>0</v>
      </c>
      <c r="P22" s="338">
        <f>P15+P21-BS!Q5</f>
        <v>0</v>
      </c>
      <c r="Q22" s="338">
        <f>Q15+Q21-BS!R5</f>
        <v>0</v>
      </c>
      <c r="R22" s="338">
        <f>R15+R21-BS!S5</f>
        <v>0</v>
      </c>
      <c r="S22" s="480">
        <f>S15+S21-BS!T5</f>
        <v>0</v>
      </c>
      <c r="T22" s="481">
        <f>T15+T21-BS!U5</f>
        <v>0</v>
      </c>
    </row>
    <row r="23" spans="1:20" ht="15" customHeight="1">
      <c r="C23" s="321"/>
      <c r="D23" s="321"/>
      <c r="E23" s="321"/>
      <c r="F23" s="321"/>
      <c r="G23" s="321"/>
      <c r="H23" s="321"/>
      <c r="I23" s="321"/>
      <c r="J23" s="321"/>
      <c r="K23" s="321"/>
      <c r="L23" s="321"/>
      <c r="M23" s="321"/>
      <c r="N23" s="321"/>
      <c r="O23" s="321"/>
      <c r="P23" s="321"/>
      <c r="Q23" s="321"/>
      <c r="R23" s="321"/>
      <c r="S23" s="321"/>
      <c r="T23" s="476"/>
    </row>
    <row r="24" spans="1:20">
      <c r="C24" s="321"/>
      <c r="D24" s="321"/>
      <c r="E24" s="321"/>
      <c r="F24" s="321"/>
      <c r="G24" s="321"/>
      <c r="H24" s="321"/>
      <c r="I24" s="321"/>
      <c r="J24" s="321"/>
      <c r="K24" s="321"/>
      <c r="L24" s="321"/>
      <c r="M24" s="321"/>
      <c r="N24" s="321"/>
      <c r="O24" s="321"/>
      <c r="P24" s="321"/>
      <c r="Q24" s="321"/>
      <c r="R24" s="321"/>
      <c r="S24" s="321"/>
      <c r="T24" s="476"/>
    </row>
    <row r="25" spans="1:20">
      <c r="A25" s="157"/>
      <c r="B25" s="157"/>
      <c r="C25" s="315"/>
      <c r="D25" s="315"/>
      <c r="E25" s="315"/>
      <c r="F25" s="315"/>
      <c r="G25" s="315"/>
      <c r="H25" s="315"/>
      <c r="I25" s="315"/>
      <c r="J25" s="315"/>
      <c r="K25" s="315"/>
      <c r="L25" s="315"/>
      <c r="M25" s="315"/>
      <c r="N25" s="315"/>
      <c r="O25" s="315"/>
      <c r="P25" s="315"/>
      <c r="Q25" s="315"/>
      <c r="R25" s="315"/>
      <c r="S25" s="315"/>
      <c r="T25" s="477"/>
    </row>
    <row r="26" spans="1:20" ht="26.25" thickBot="1">
      <c r="A26" s="316" t="s">
        <v>497</v>
      </c>
      <c r="B26" s="316" t="s">
        <v>501</v>
      </c>
      <c r="C26" s="147">
        <v>42825</v>
      </c>
      <c r="D26" s="147">
        <v>42916</v>
      </c>
      <c r="E26" s="147">
        <v>43008</v>
      </c>
      <c r="F26" s="147">
        <v>43100</v>
      </c>
      <c r="G26" s="147">
        <v>43101</v>
      </c>
      <c r="H26" s="147">
        <v>43190</v>
      </c>
      <c r="I26" s="147">
        <v>43281</v>
      </c>
      <c r="J26" s="147">
        <v>43373</v>
      </c>
      <c r="K26" s="147">
        <v>43465</v>
      </c>
      <c r="L26" s="147">
        <v>43555</v>
      </c>
      <c r="M26" s="147">
        <f t="shared" ref="M26:R26" si="26">M18</f>
        <v>43646</v>
      </c>
      <c r="N26" s="147">
        <f t="shared" si="26"/>
        <v>43738</v>
      </c>
      <c r="O26" s="147">
        <f t="shared" si="26"/>
        <v>43830</v>
      </c>
      <c r="P26" s="147">
        <f t="shared" si="26"/>
        <v>43921</v>
      </c>
      <c r="Q26" s="147">
        <f t="shared" si="26"/>
        <v>44012</v>
      </c>
      <c r="R26" s="147">
        <f t="shared" si="26"/>
        <v>44104</v>
      </c>
      <c r="S26" s="147">
        <f t="shared" ref="S26" si="27">S18</f>
        <v>44196</v>
      </c>
      <c r="T26" s="147">
        <f>T18</f>
        <v>44286</v>
      </c>
    </row>
    <row r="27" spans="1:20" ht="25.5">
      <c r="A27" s="159" t="s">
        <v>477</v>
      </c>
      <c r="B27" s="159" t="s">
        <v>486</v>
      </c>
      <c r="C27" s="171">
        <f>SUM(C28:C30)</f>
        <v>1590912</v>
      </c>
      <c r="D27" s="171">
        <f>SUM(D28:D30)</f>
        <v>1502171</v>
      </c>
      <c r="E27" s="171">
        <f>SUM(E28:E30)</f>
        <v>1487405</v>
      </c>
      <c r="F27" s="171">
        <f>SUM(F28:F30)</f>
        <v>1237704</v>
      </c>
      <c r="G27" s="171">
        <f>SUM(G28:G30)</f>
        <v>1237704</v>
      </c>
      <c r="H27" s="171">
        <v>954909</v>
      </c>
      <c r="I27" s="171">
        <f t="shared" ref="I27:P27" si="28">SUM(I28:I30)</f>
        <v>1194616</v>
      </c>
      <c r="J27" s="171">
        <f t="shared" si="28"/>
        <v>891658</v>
      </c>
      <c r="K27" s="171">
        <f t="shared" si="28"/>
        <v>1058024</v>
      </c>
      <c r="L27" s="171">
        <f t="shared" si="28"/>
        <v>1166394</v>
      </c>
      <c r="M27" s="171">
        <f t="shared" si="28"/>
        <v>1401461</v>
      </c>
      <c r="N27" s="171">
        <f t="shared" si="28"/>
        <v>1793215</v>
      </c>
      <c r="O27" s="304">
        <f t="shared" si="28"/>
        <v>1524250</v>
      </c>
      <c r="P27" s="304">
        <f t="shared" si="28"/>
        <v>3339834</v>
      </c>
      <c r="Q27" s="304">
        <f t="shared" ref="Q27:R27" si="29">SUM(Q28:Q30)</f>
        <v>2656612</v>
      </c>
      <c r="R27" s="304">
        <f t="shared" si="29"/>
        <v>2754926</v>
      </c>
      <c r="S27" s="304">
        <f t="shared" ref="S27" si="30">SUM(S28:S30)</f>
        <v>2963339</v>
      </c>
      <c r="T27" s="470">
        <f>SUM(T28:T30)</f>
        <v>2587221</v>
      </c>
    </row>
    <row r="28" spans="1:20">
      <c r="A28" s="160" t="s">
        <v>478</v>
      </c>
      <c r="B28" s="160" t="s">
        <v>487</v>
      </c>
      <c r="C28" s="172">
        <v>875142</v>
      </c>
      <c r="D28" s="172">
        <v>719949</v>
      </c>
      <c r="E28" s="172">
        <v>745857</v>
      </c>
      <c r="F28" s="172">
        <v>275046</v>
      </c>
      <c r="G28" s="172">
        <v>275046</v>
      </c>
      <c r="H28" s="170">
        <v>268605</v>
      </c>
      <c r="I28" s="172">
        <v>257153</v>
      </c>
      <c r="J28" s="172">
        <v>281004</v>
      </c>
      <c r="K28" s="42">
        <v>545393</v>
      </c>
      <c r="L28" s="42">
        <v>620795</v>
      </c>
      <c r="M28" s="42">
        <v>695089</v>
      </c>
      <c r="N28" s="42">
        <v>958617</v>
      </c>
      <c r="O28" s="300">
        <v>766820</v>
      </c>
      <c r="P28" s="300">
        <v>1505261</v>
      </c>
      <c r="Q28" s="301">
        <v>1736358</v>
      </c>
      <c r="R28" s="301">
        <v>1797322</v>
      </c>
      <c r="S28" s="301">
        <v>1593606</v>
      </c>
      <c r="T28" s="471">
        <v>1243703</v>
      </c>
    </row>
    <row r="29" spans="1:20" ht="25.5">
      <c r="A29" s="161" t="s">
        <v>479</v>
      </c>
      <c r="B29" s="161" t="s">
        <v>488</v>
      </c>
      <c r="C29" s="172">
        <v>13079</v>
      </c>
      <c r="D29" s="172">
        <v>12382</v>
      </c>
      <c r="E29" s="172">
        <v>8268</v>
      </c>
      <c r="F29" s="172">
        <v>6053</v>
      </c>
      <c r="G29" s="172">
        <v>6053</v>
      </c>
      <c r="H29" s="172">
        <v>6880</v>
      </c>
      <c r="I29" s="172">
        <v>6394</v>
      </c>
      <c r="J29" s="172">
        <v>6282</v>
      </c>
      <c r="K29" s="42">
        <v>3279</v>
      </c>
      <c r="L29" s="42">
        <v>2844</v>
      </c>
      <c r="M29" s="42">
        <v>3148</v>
      </c>
      <c r="N29" s="42">
        <v>1916</v>
      </c>
      <c r="O29" s="300">
        <v>1450</v>
      </c>
      <c r="P29" s="300">
        <v>85</v>
      </c>
      <c r="Q29" s="301">
        <v>0</v>
      </c>
      <c r="R29" s="301">
        <v>0</v>
      </c>
      <c r="S29" s="301">
        <v>0</v>
      </c>
      <c r="T29" s="471">
        <v>0</v>
      </c>
    </row>
    <row r="30" spans="1:20">
      <c r="A30" s="160" t="s">
        <v>480</v>
      </c>
      <c r="B30" s="160" t="s">
        <v>489</v>
      </c>
      <c r="C30" s="172">
        <v>702691</v>
      </c>
      <c r="D30" s="172">
        <v>769840</v>
      </c>
      <c r="E30" s="172">
        <v>733280</v>
      </c>
      <c r="F30" s="172">
        <v>956605</v>
      </c>
      <c r="G30" s="172">
        <v>956605</v>
      </c>
      <c r="H30" s="172">
        <v>679424</v>
      </c>
      <c r="I30" s="172">
        <v>931069</v>
      </c>
      <c r="J30" s="172">
        <v>604372</v>
      </c>
      <c r="K30" s="172">
        <v>509352</v>
      </c>
      <c r="L30" s="172">
        <v>542755</v>
      </c>
      <c r="M30" s="172">
        <v>703224</v>
      </c>
      <c r="N30" s="172">
        <v>832682</v>
      </c>
      <c r="O30" s="300">
        <v>755980</v>
      </c>
      <c r="P30" s="300">
        <v>1834488</v>
      </c>
      <c r="Q30" s="301">
        <v>920254</v>
      </c>
      <c r="R30" s="301">
        <v>957604</v>
      </c>
      <c r="S30" s="301">
        <v>1369733</v>
      </c>
      <c r="T30" s="471">
        <v>1343518</v>
      </c>
    </row>
    <row r="31" spans="1:20">
      <c r="A31" s="164" t="s">
        <v>485</v>
      </c>
      <c r="B31" s="164" t="s">
        <v>494</v>
      </c>
      <c r="C31" s="174">
        <f>176936+580131</f>
        <v>757067</v>
      </c>
      <c r="D31" s="174">
        <f>182684</f>
        <v>182684</v>
      </c>
      <c r="E31" s="174">
        <f>375319</f>
        <v>375319</v>
      </c>
      <c r="F31" s="175">
        <f>230895</f>
        <v>230895</v>
      </c>
      <c r="G31" s="175">
        <f>230895</f>
        <v>230895</v>
      </c>
      <c r="H31" s="174">
        <f>622545</f>
        <v>622545</v>
      </c>
      <c r="I31" s="175">
        <f>105024</f>
        <v>105024</v>
      </c>
      <c r="J31" s="175">
        <f>675323</f>
        <v>675323</v>
      </c>
      <c r="K31" s="176">
        <f>423377</f>
        <v>423377</v>
      </c>
      <c r="L31" s="176">
        <f>722673</f>
        <v>722673</v>
      </c>
      <c r="M31" s="176">
        <f>394767</f>
        <v>394767</v>
      </c>
      <c r="N31" s="176">
        <v>220460</v>
      </c>
      <c r="O31" s="305">
        <v>332563</v>
      </c>
      <c r="P31" s="305">
        <v>143000</v>
      </c>
      <c r="Q31" s="416">
        <v>210553</v>
      </c>
      <c r="R31" s="416">
        <v>114331</v>
      </c>
      <c r="S31" s="416">
        <v>67001</v>
      </c>
      <c r="T31" s="478">
        <v>101202</v>
      </c>
    </row>
    <row r="32" spans="1:20">
      <c r="A32" s="165" t="s">
        <v>498</v>
      </c>
      <c r="B32" s="165" t="s">
        <v>502</v>
      </c>
      <c r="C32" s="166">
        <f t="shared" ref="C32:L32" si="31">C27+C31</f>
        <v>2347979</v>
      </c>
      <c r="D32" s="166">
        <f t="shared" si="31"/>
        <v>1684855</v>
      </c>
      <c r="E32" s="166">
        <f t="shared" si="31"/>
        <v>1862724</v>
      </c>
      <c r="F32" s="166">
        <f t="shared" si="31"/>
        <v>1468599</v>
      </c>
      <c r="G32" s="166">
        <f>G27+G31</f>
        <v>1468599</v>
      </c>
      <c r="H32" s="166">
        <f t="shared" si="31"/>
        <v>1577454</v>
      </c>
      <c r="I32" s="166">
        <f t="shared" si="31"/>
        <v>1299640</v>
      </c>
      <c r="J32" s="166">
        <f t="shared" si="31"/>
        <v>1566981</v>
      </c>
      <c r="K32" s="166">
        <f t="shared" si="31"/>
        <v>1481401</v>
      </c>
      <c r="L32" s="166">
        <f t="shared" si="31"/>
        <v>1889067</v>
      </c>
      <c r="M32" s="166">
        <f t="shared" ref="M32:R32" si="32">M27+M31</f>
        <v>1796228</v>
      </c>
      <c r="N32" s="166">
        <f t="shared" si="32"/>
        <v>2013675</v>
      </c>
      <c r="O32" s="306">
        <f t="shared" si="32"/>
        <v>1856813</v>
      </c>
      <c r="P32" s="306">
        <f t="shared" si="32"/>
        <v>3482834</v>
      </c>
      <c r="Q32" s="306">
        <f t="shared" si="32"/>
        <v>2867165</v>
      </c>
      <c r="R32" s="306">
        <f t="shared" si="32"/>
        <v>2869257</v>
      </c>
      <c r="S32" s="306">
        <f t="shared" ref="S32" si="33">S27+S31</f>
        <v>3030340</v>
      </c>
      <c r="T32" s="473">
        <f>T27+T31</f>
        <v>2688423</v>
      </c>
    </row>
    <row r="33" spans="1:20">
      <c r="I33" s="169"/>
      <c r="J33" s="169"/>
      <c r="K33" s="169"/>
      <c r="L33" s="169"/>
      <c r="M33" s="169"/>
      <c r="N33" s="169"/>
      <c r="O33" s="169"/>
      <c r="P33" s="169"/>
      <c r="Q33" s="169"/>
      <c r="R33" s="169"/>
      <c r="S33" s="169"/>
    </row>
    <row r="34" spans="1:20">
      <c r="I34" s="169"/>
      <c r="J34" s="169"/>
      <c r="K34" s="169"/>
      <c r="L34" s="169"/>
      <c r="M34" s="169"/>
      <c r="N34" s="169"/>
      <c r="O34" s="169"/>
      <c r="P34" s="169"/>
      <c r="Q34" s="169"/>
      <c r="R34" s="169"/>
      <c r="S34" s="169"/>
    </row>
    <row r="35" spans="1:20" ht="30" customHeight="1" thickBot="1">
      <c r="A35" s="158" t="s">
        <v>508</v>
      </c>
      <c r="B35" s="31" t="s">
        <v>511</v>
      </c>
      <c r="C35" s="147">
        <f>C26</f>
        <v>42825</v>
      </c>
      <c r="D35" s="147">
        <v>42916</v>
      </c>
      <c r="E35" s="147">
        <v>43008</v>
      </c>
      <c r="F35" s="147">
        <v>43100</v>
      </c>
      <c r="G35" s="147">
        <v>43100</v>
      </c>
      <c r="H35" s="147">
        <v>43190</v>
      </c>
      <c r="I35" s="147">
        <v>43281</v>
      </c>
      <c r="J35" s="147">
        <v>43373</v>
      </c>
      <c r="K35" s="147">
        <v>43465</v>
      </c>
      <c r="L35" s="147">
        <v>43555</v>
      </c>
      <c r="M35" s="147">
        <f t="shared" ref="M35:R35" si="34">M26</f>
        <v>43646</v>
      </c>
      <c r="N35" s="147">
        <f t="shared" si="34"/>
        <v>43738</v>
      </c>
      <c r="O35" s="147">
        <f t="shared" si="34"/>
        <v>43830</v>
      </c>
      <c r="P35" s="147">
        <f t="shared" si="34"/>
        <v>43921</v>
      </c>
      <c r="Q35" s="147">
        <f t="shared" si="34"/>
        <v>44012</v>
      </c>
      <c r="R35" s="147">
        <f t="shared" si="34"/>
        <v>44104</v>
      </c>
      <c r="S35" s="147">
        <f t="shared" ref="S35" si="35">S26</f>
        <v>44196</v>
      </c>
      <c r="T35" s="147">
        <f>T26</f>
        <v>44286</v>
      </c>
    </row>
    <row r="36" spans="1:20" ht="30" customHeight="1">
      <c r="A36" s="180" t="s">
        <v>503</v>
      </c>
      <c r="B36" s="160" t="s">
        <v>509</v>
      </c>
      <c r="C36" s="172">
        <v>147946</v>
      </c>
      <c r="D36" s="172">
        <v>162373</v>
      </c>
      <c r="E36" s="172">
        <v>153669</v>
      </c>
      <c r="F36" s="172">
        <v>115496</v>
      </c>
      <c r="G36" s="172">
        <v>115496</v>
      </c>
      <c r="H36" s="172">
        <v>135615</v>
      </c>
      <c r="I36" s="172">
        <v>146817</v>
      </c>
      <c r="J36" s="172">
        <v>140155</v>
      </c>
      <c r="K36" s="172">
        <v>129205</v>
      </c>
      <c r="L36" s="172">
        <v>143828</v>
      </c>
      <c r="M36" s="172">
        <v>172234</v>
      </c>
      <c r="N36" s="172">
        <v>221774</v>
      </c>
      <c r="O36" s="300">
        <v>156700</v>
      </c>
      <c r="P36" s="300">
        <v>348701</v>
      </c>
      <c r="Q36" s="301">
        <v>409101</v>
      </c>
      <c r="R36" s="301">
        <v>407133</v>
      </c>
      <c r="S36" s="301">
        <v>344311</v>
      </c>
      <c r="T36" s="471">
        <v>248563</v>
      </c>
    </row>
    <row r="37" spans="1:20" ht="30" customHeight="1">
      <c r="A37" s="161" t="s">
        <v>504</v>
      </c>
      <c r="B37" s="161" t="s">
        <v>510</v>
      </c>
      <c r="C37" s="179">
        <v>1211577</v>
      </c>
      <c r="D37" s="179">
        <v>1023635</v>
      </c>
      <c r="E37" s="179">
        <v>838637</v>
      </c>
      <c r="F37" s="179">
        <v>463302</v>
      </c>
      <c r="G37" s="179">
        <v>463302</v>
      </c>
      <c r="H37" s="179">
        <v>506696</v>
      </c>
      <c r="I37" s="179">
        <v>804390</v>
      </c>
      <c r="J37" s="179">
        <v>707934</v>
      </c>
      <c r="K37" s="179">
        <v>783277</v>
      </c>
      <c r="L37" s="179">
        <v>766606</v>
      </c>
      <c r="M37" s="179">
        <v>710560</v>
      </c>
      <c r="N37" s="179">
        <v>1059213</v>
      </c>
      <c r="O37" s="303">
        <v>838927</v>
      </c>
      <c r="P37" s="303">
        <v>1514772</v>
      </c>
      <c r="Q37" s="415">
        <v>1233706</v>
      </c>
      <c r="R37" s="415">
        <v>1292157</v>
      </c>
      <c r="S37" s="415">
        <v>1430787</v>
      </c>
      <c r="T37" s="475">
        <v>1339369</v>
      </c>
    </row>
    <row r="38" spans="1:20">
      <c r="A38" s="165" t="s">
        <v>505</v>
      </c>
      <c r="B38" s="165" t="s">
        <v>506</v>
      </c>
      <c r="C38" s="166">
        <f t="shared" ref="C38:P38" si="36">C36+C37</f>
        <v>1359523</v>
      </c>
      <c r="D38" s="166">
        <f t="shared" si="36"/>
        <v>1186008</v>
      </c>
      <c r="E38" s="166">
        <f t="shared" si="36"/>
        <v>992306</v>
      </c>
      <c r="F38" s="166">
        <f t="shared" si="36"/>
        <v>578798</v>
      </c>
      <c r="G38" s="166">
        <f t="shared" si="36"/>
        <v>578798</v>
      </c>
      <c r="H38" s="166">
        <f t="shared" si="36"/>
        <v>642311</v>
      </c>
      <c r="I38" s="166">
        <f t="shared" si="36"/>
        <v>951207</v>
      </c>
      <c r="J38" s="166">
        <f t="shared" si="36"/>
        <v>848089</v>
      </c>
      <c r="K38" s="166">
        <f t="shared" si="36"/>
        <v>912482</v>
      </c>
      <c r="L38" s="166">
        <f t="shared" si="36"/>
        <v>910434</v>
      </c>
      <c r="M38" s="166">
        <f t="shared" si="36"/>
        <v>882794</v>
      </c>
      <c r="N38" s="166">
        <f t="shared" si="36"/>
        <v>1280987</v>
      </c>
      <c r="O38" s="302">
        <f t="shared" si="36"/>
        <v>995627</v>
      </c>
      <c r="P38" s="302">
        <f t="shared" si="36"/>
        <v>1863473</v>
      </c>
      <c r="Q38" s="302">
        <f t="shared" ref="Q38:R38" si="37">Q36+Q37</f>
        <v>1642807</v>
      </c>
      <c r="R38" s="302">
        <f t="shared" si="37"/>
        <v>1699290</v>
      </c>
      <c r="S38" s="302">
        <f t="shared" ref="S38" si="38">S36+S37</f>
        <v>1775098</v>
      </c>
      <c r="T38" s="473">
        <f>T36+T37</f>
        <v>1587932</v>
      </c>
    </row>
    <row r="39" spans="1:20">
      <c r="A39" s="289"/>
      <c r="B39" s="289"/>
      <c r="C39" s="323">
        <f>C32+C38-BS!D30</f>
        <v>0</v>
      </c>
      <c r="D39" s="323">
        <f>D32+D38-BS!E30</f>
        <v>0</v>
      </c>
      <c r="E39" s="323">
        <f>E32+E38-BS!F30</f>
        <v>0</v>
      </c>
      <c r="F39" s="323">
        <f>F32+F38-BS!G30</f>
        <v>0</v>
      </c>
      <c r="G39" s="323">
        <f>G32+G38-BS!H30</f>
        <v>0</v>
      </c>
      <c r="H39" s="323">
        <f>H32+H38-BS!I30</f>
        <v>0</v>
      </c>
      <c r="I39" s="323">
        <f>I32+I38-BS!J30</f>
        <v>0</v>
      </c>
      <c r="J39" s="323">
        <f>J32+J38-BS!K30</f>
        <v>0</v>
      </c>
      <c r="K39" s="323">
        <f>K32+K38-BS!L30</f>
        <v>0</v>
      </c>
      <c r="L39" s="323">
        <f>L32+L38-BS!M30</f>
        <v>0</v>
      </c>
      <c r="M39" s="323">
        <f>M32+M38-BS!N30</f>
        <v>0</v>
      </c>
      <c r="N39" s="323">
        <f>N32+N38-BS!O30</f>
        <v>0</v>
      </c>
      <c r="O39" s="323">
        <f>O32+O38-BS!P30</f>
        <v>0</v>
      </c>
      <c r="P39" s="323">
        <f>P32+P38-BS!Q30</f>
        <v>0</v>
      </c>
      <c r="Q39" s="323">
        <f>Q32+Q38-BS!R30</f>
        <v>0</v>
      </c>
      <c r="R39" s="323">
        <f>R32+R38-BS!S30</f>
        <v>0</v>
      </c>
      <c r="S39" s="323">
        <f>S32+S38-BS!T30</f>
        <v>0</v>
      </c>
      <c r="T39" s="479">
        <f>T32+T38-BS!U30</f>
        <v>0</v>
      </c>
    </row>
    <row r="40" spans="1:20">
      <c r="A40" s="289"/>
      <c r="B40" s="322" t="s">
        <v>620</v>
      </c>
      <c r="C40" s="315"/>
      <c r="D40" s="315"/>
      <c r="E40" s="315"/>
      <c r="F40" s="315"/>
      <c r="G40" s="315"/>
      <c r="H40" s="315"/>
      <c r="I40" s="315"/>
      <c r="J40" s="315"/>
      <c r="K40" s="315"/>
      <c r="L40" s="315"/>
      <c r="M40" s="315"/>
      <c r="N40" s="315"/>
      <c r="O40" s="315"/>
      <c r="P40" s="289"/>
      <c r="Q40" s="289"/>
    </row>
    <row r="41" spans="1:20">
      <c r="A41" s="326"/>
      <c r="B41" s="325" t="s">
        <v>619</v>
      </c>
      <c r="C41" s="332"/>
      <c r="D41" s="332"/>
      <c r="E41" s="332"/>
      <c r="F41" s="332"/>
      <c r="G41" s="332"/>
      <c r="H41" s="332"/>
      <c r="I41" s="332"/>
      <c r="J41" s="332"/>
      <c r="K41" s="332"/>
      <c r="L41" s="332"/>
      <c r="M41" s="332"/>
      <c r="N41" s="332"/>
      <c r="O41" s="332"/>
      <c r="P41" s="289"/>
      <c r="Q41" s="289"/>
    </row>
    <row r="42" spans="1:20">
      <c r="A42" s="326"/>
      <c r="B42" s="326"/>
      <c r="C42" s="332"/>
      <c r="D42" s="332"/>
      <c r="E42" s="332"/>
      <c r="F42" s="332"/>
      <c r="G42" s="332"/>
      <c r="H42" s="332"/>
      <c r="I42" s="332"/>
      <c r="J42" s="332"/>
      <c r="K42" s="332"/>
      <c r="L42" s="332"/>
      <c r="M42" s="332"/>
      <c r="N42" s="332"/>
      <c r="O42" s="332"/>
      <c r="P42" s="289"/>
      <c r="Q42" s="289"/>
    </row>
    <row r="43" spans="1:20">
      <c r="A43" s="332"/>
      <c r="B43" s="332"/>
      <c r="C43" s="332"/>
      <c r="D43" s="332"/>
      <c r="E43" s="332"/>
      <c r="F43" s="332"/>
      <c r="G43" s="332"/>
      <c r="H43" s="332"/>
      <c r="I43" s="332"/>
      <c r="J43" s="332"/>
      <c r="K43" s="332"/>
      <c r="L43" s="332"/>
      <c r="M43" s="332"/>
      <c r="N43" s="332"/>
      <c r="O43" s="332"/>
      <c r="P43" s="334"/>
      <c r="Q43" s="334"/>
    </row>
    <row r="44" spans="1:20" s="157" customFormat="1" ht="14.25">
      <c r="A44" s="335"/>
      <c r="B44" s="335"/>
      <c r="C44" s="333"/>
      <c r="D44" s="333"/>
      <c r="E44" s="333"/>
      <c r="F44" s="333"/>
      <c r="G44" s="333"/>
      <c r="H44" s="333"/>
      <c r="I44" s="333"/>
      <c r="J44" s="333"/>
      <c r="K44" s="333"/>
      <c r="L44" s="333"/>
      <c r="M44" s="333"/>
      <c r="N44" s="333"/>
      <c r="O44" s="333"/>
      <c r="P44" s="336"/>
      <c r="Q44" s="336"/>
    </row>
    <row r="45" spans="1:20">
      <c r="A45" s="332"/>
      <c r="B45" s="332"/>
      <c r="C45" s="332"/>
      <c r="D45" s="332"/>
      <c r="E45" s="332"/>
      <c r="F45" s="332"/>
      <c r="G45" s="332"/>
      <c r="H45" s="332"/>
      <c r="I45" s="332"/>
      <c r="J45" s="332"/>
      <c r="K45" s="332"/>
      <c r="L45" s="332"/>
      <c r="M45" s="332"/>
      <c r="N45" s="332"/>
      <c r="O45" s="332"/>
      <c r="P45" s="334"/>
      <c r="Q45" s="334"/>
    </row>
    <row r="46" spans="1:20">
      <c r="A46" s="337"/>
      <c r="B46" s="337"/>
      <c r="C46" s="337"/>
      <c r="D46" s="337"/>
      <c r="E46" s="337"/>
      <c r="F46" s="337"/>
      <c r="G46" s="337"/>
      <c r="H46" s="337"/>
      <c r="I46" s="337"/>
      <c r="J46" s="337"/>
      <c r="K46" s="337"/>
      <c r="L46" s="337"/>
      <c r="M46" s="337"/>
      <c r="N46" s="337"/>
      <c r="O46" s="337"/>
      <c r="P46" s="334"/>
      <c r="Q46" s="334"/>
    </row>
    <row r="47" spans="1:20">
      <c r="A47" s="334"/>
      <c r="B47" s="334"/>
      <c r="C47" s="334"/>
      <c r="D47" s="334"/>
      <c r="E47" s="334"/>
      <c r="F47" s="334"/>
      <c r="G47" s="334"/>
      <c r="H47" s="334"/>
      <c r="I47" s="334"/>
      <c r="J47" s="334"/>
      <c r="K47" s="334"/>
      <c r="L47" s="334"/>
      <c r="M47" s="334"/>
      <c r="N47" s="334"/>
      <c r="O47" s="334"/>
      <c r="P47" s="334"/>
      <c r="Q47" s="334"/>
    </row>
    <row r="48" spans="1:20">
      <c r="A48" s="334"/>
      <c r="B48" s="334"/>
      <c r="C48" s="334"/>
      <c r="D48" s="334"/>
      <c r="E48" s="334"/>
      <c r="F48" s="334"/>
      <c r="G48" s="334"/>
      <c r="H48" s="334"/>
      <c r="I48" s="334"/>
      <c r="J48" s="334"/>
      <c r="K48" s="334"/>
      <c r="L48" s="334"/>
      <c r="M48" s="334"/>
      <c r="N48" s="334"/>
      <c r="O48" s="334"/>
      <c r="P48" s="334"/>
      <c r="Q48" s="334"/>
    </row>
    <row r="49" spans="1:17">
      <c r="A49" s="334"/>
      <c r="B49" s="334"/>
      <c r="C49" s="334"/>
      <c r="D49" s="334"/>
      <c r="E49" s="334"/>
      <c r="F49" s="334"/>
      <c r="G49" s="334"/>
      <c r="H49" s="334"/>
      <c r="I49" s="334"/>
      <c r="J49" s="334"/>
      <c r="K49" s="334"/>
      <c r="L49" s="334"/>
      <c r="M49" s="334"/>
      <c r="N49" s="334"/>
      <c r="O49" s="334"/>
      <c r="P49" s="334"/>
      <c r="Q49" s="334"/>
    </row>
    <row r="50" spans="1:17">
      <c r="A50" s="334"/>
      <c r="B50" s="334"/>
      <c r="C50" s="334"/>
      <c r="D50" s="334"/>
      <c r="E50" s="334"/>
      <c r="F50" s="334"/>
      <c r="G50" s="334"/>
      <c r="H50" s="334"/>
      <c r="I50" s="334"/>
      <c r="J50" s="334"/>
      <c r="K50" s="334"/>
      <c r="L50" s="334"/>
      <c r="M50" s="334"/>
      <c r="N50" s="334"/>
      <c r="O50" s="334"/>
      <c r="P50" s="334"/>
      <c r="Q50" s="334"/>
    </row>
    <row r="51" spans="1:17">
      <c r="A51" s="334"/>
      <c r="B51" s="334"/>
      <c r="C51" s="334"/>
      <c r="D51" s="334"/>
      <c r="E51" s="334"/>
      <c r="F51" s="334"/>
      <c r="G51" s="334"/>
      <c r="H51" s="334"/>
      <c r="I51" s="334"/>
      <c r="J51" s="334"/>
      <c r="K51" s="334"/>
      <c r="L51" s="334"/>
      <c r="M51" s="334"/>
      <c r="N51" s="334"/>
      <c r="O51" s="334"/>
      <c r="P51" s="334"/>
      <c r="Q51" s="334"/>
    </row>
    <row r="52" spans="1:17">
      <c r="A52" s="334"/>
      <c r="B52" s="334"/>
      <c r="C52" s="334"/>
      <c r="D52" s="334"/>
      <c r="E52" s="334"/>
      <c r="F52" s="334"/>
      <c r="G52" s="334"/>
      <c r="H52" s="334"/>
      <c r="I52" s="334"/>
      <c r="J52" s="334"/>
      <c r="K52" s="334"/>
      <c r="L52" s="334"/>
      <c r="M52" s="334"/>
      <c r="N52" s="334"/>
      <c r="O52" s="334"/>
      <c r="P52" s="334"/>
      <c r="Q52" s="334"/>
    </row>
    <row r="53" spans="1:17">
      <c r="A53" s="334"/>
      <c r="B53" s="334"/>
      <c r="C53" s="334"/>
      <c r="D53" s="334"/>
      <c r="E53" s="334"/>
      <c r="F53" s="334"/>
      <c r="G53" s="334"/>
      <c r="H53" s="334"/>
      <c r="I53" s="334"/>
      <c r="J53" s="334"/>
      <c r="K53" s="334"/>
      <c r="L53" s="334"/>
      <c r="M53" s="334"/>
      <c r="N53" s="334"/>
      <c r="O53" s="334"/>
      <c r="P53" s="334"/>
      <c r="Q53" s="334"/>
    </row>
    <row r="54" spans="1:17">
      <c r="A54" s="334"/>
      <c r="B54" s="334"/>
      <c r="C54" s="334"/>
      <c r="D54" s="334"/>
      <c r="E54" s="334"/>
      <c r="F54" s="334"/>
      <c r="G54" s="334"/>
      <c r="H54" s="334"/>
      <c r="I54" s="334"/>
      <c r="J54" s="334"/>
      <c r="K54" s="334"/>
      <c r="L54" s="334"/>
      <c r="M54" s="334"/>
      <c r="N54" s="334"/>
      <c r="O54" s="334"/>
      <c r="P54" s="334"/>
      <c r="Q54" s="334"/>
    </row>
    <row r="55" spans="1:17">
      <c r="A55" s="334"/>
      <c r="B55" s="334"/>
      <c r="C55" s="334"/>
      <c r="D55" s="334"/>
      <c r="E55" s="334"/>
      <c r="F55" s="334"/>
      <c r="G55" s="334"/>
      <c r="H55" s="334"/>
      <c r="I55" s="334"/>
      <c r="J55" s="334"/>
      <c r="K55" s="334"/>
      <c r="L55" s="334"/>
      <c r="M55" s="334"/>
      <c r="N55" s="334"/>
      <c r="O55" s="334"/>
      <c r="P55" s="334"/>
      <c r="Q55" s="334"/>
    </row>
    <row r="56" spans="1:17">
      <c r="A56" s="334"/>
      <c r="B56" s="334"/>
      <c r="C56" s="334"/>
      <c r="D56" s="334"/>
      <c r="E56" s="334"/>
      <c r="F56" s="334"/>
      <c r="G56" s="334"/>
      <c r="H56" s="334"/>
      <c r="I56" s="334"/>
      <c r="J56" s="334"/>
      <c r="K56" s="334"/>
      <c r="L56" s="334"/>
      <c r="M56" s="334"/>
      <c r="N56" s="334"/>
      <c r="O56" s="334"/>
      <c r="P56" s="334"/>
      <c r="Q56" s="334"/>
    </row>
    <row r="57" spans="1:17">
      <c r="A57" s="334"/>
      <c r="B57" s="334"/>
      <c r="C57" s="334"/>
      <c r="D57" s="334"/>
      <c r="E57" s="334"/>
      <c r="F57" s="334"/>
      <c r="G57" s="334"/>
      <c r="H57" s="334"/>
      <c r="I57" s="334"/>
      <c r="J57" s="334"/>
      <c r="K57" s="334"/>
      <c r="L57" s="334"/>
      <c r="M57" s="334"/>
      <c r="N57" s="334"/>
      <c r="O57" s="334"/>
      <c r="P57" s="334"/>
      <c r="Q57" s="334"/>
    </row>
    <row r="58" spans="1:17">
      <c r="A58" s="334"/>
      <c r="B58" s="334"/>
      <c r="C58" s="334"/>
      <c r="D58" s="334"/>
      <c r="E58" s="334"/>
      <c r="F58" s="334"/>
      <c r="G58" s="334"/>
      <c r="H58" s="334"/>
      <c r="I58" s="334"/>
      <c r="J58" s="334"/>
      <c r="K58" s="334"/>
      <c r="L58" s="334"/>
      <c r="M58" s="334"/>
      <c r="N58" s="334"/>
      <c r="O58" s="334"/>
      <c r="P58" s="334"/>
      <c r="Q58" s="334"/>
    </row>
    <row r="59" spans="1:17">
      <c r="A59" s="334"/>
      <c r="B59" s="334"/>
      <c r="C59" s="334"/>
      <c r="D59" s="334"/>
      <c r="E59" s="334"/>
      <c r="F59" s="334"/>
      <c r="G59" s="334"/>
      <c r="H59" s="334"/>
      <c r="I59" s="334"/>
      <c r="J59" s="334"/>
      <c r="K59" s="334"/>
      <c r="L59" s="334"/>
      <c r="M59" s="334"/>
      <c r="N59" s="334"/>
      <c r="O59" s="334"/>
      <c r="P59" s="334"/>
      <c r="Q59" s="334"/>
    </row>
    <row r="60" spans="1:17">
      <c r="A60" s="334"/>
      <c r="B60" s="334"/>
      <c r="C60" s="334"/>
      <c r="D60" s="334"/>
      <c r="E60" s="334"/>
      <c r="F60" s="334"/>
      <c r="G60" s="334"/>
      <c r="H60" s="334"/>
      <c r="I60" s="334"/>
      <c r="J60" s="334"/>
      <c r="K60" s="334"/>
      <c r="L60" s="334"/>
      <c r="M60" s="334"/>
      <c r="N60" s="334"/>
      <c r="O60" s="334"/>
      <c r="P60" s="334"/>
      <c r="Q60" s="334"/>
    </row>
    <row r="61" spans="1:17">
      <c r="A61" s="334"/>
      <c r="B61" s="334"/>
      <c r="C61" s="334"/>
      <c r="D61" s="334"/>
      <c r="E61" s="334"/>
      <c r="F61" s="334"/>
      <c r="G61" s="334"/>
      <c r="H61" s="334"/>
      <c r="I61" s="334"/>
      <c r="J61" s="334"/>
      <c r="K61" s="334"/>
      <c r="L61" s="334"/>
      <c r="M61" s="334"/>
      <c r="N61" s="334"/>
      <c r="O61" s="334"/>
      <c r="P61" s="334"/>
      <c r="Q61" s="334"/>
    </row>
    <row r="62" spans="1:17">
      <c r="A62" s="334"/>
      <c r="B62" s="334"/>
      <c r="C62" s="334"/>
      <c r="D62" s="334"/>
      <c r="E62" s="334"/>
      <c r="F62" s="334"/>
      <c r="G62" s="334"/>
      <c r="H62" s="334"/>
      <c r="I62" s="334"/>
      <c r="J62" s="334"/>
      <c r="K62" s="334"/>
      <c r="L62" s="334"/>
      <c r="M62" s="334"/>
      <c r="N62" s="334"/>
      <c r="O62" s="334"/>
      <c r="P62" s="334"/>
      <c r="Q62" s="334"/>
    </row>
    <row r="63" spans="1:17">
      <c r="A63" s="334"/>
      <c r="B63" s="334"/>
      <c r="C63" s="334"/>
      <c r="D63" s="334"/>
      <c r="E63" s="334"/>
      <c r="F63" s="334"/>
      <c r="G63" s="334"/>
      <c r="H63" s="334"/>
      <c r="I63" s="334"/>
      <c r="J63" s="334"/>
      <c r="K63" s="334"/>
      <c r="L63" s="334"/>
      <c r="M63" s="334"/>
      <c r="N63" s="334"/>
      <c r="O63" s="334"/>
      <c r="P63" s="334"/>
      <c r="Q63" s="334"/>
    </row>
    <row r="64" spans="1:17">
      <c r="A64" s="334"/>
      <c r="B64" s="334"/>
      <c r="C64" s="334"/>
      <c r="D64" s="334"/>
      <c r="E64" s="334"/>
      <c r="F64" s="334"/>
      <c r="G64" s="334"/>
      <c r="H64" s="334"/>
      <c r="I64" s="334"/>
      <c r="J64" s="334"/>
      <c r="K64" s="334"/>
      <c r="L64" s="334"/>
      <c r="M64" s="334"/>
      <c r="N64" s="334"/>
      <c r="O64" s="334"/>
      <c r="P64" s="334"/>
      <c r="Q64" s="334"/>
    </row>
    <row r="65" spans="1:17">
      <c r="A65" s="334"/>
      <c r="B65" s="334"/>
      <c r="C65" s="334"/>
      <c r="D65" s="334"/>
      <c r="E65" s="334"/>
      <c r="F65" s="334"/>
      <c r="G65" s="334"/>
      <c r="H65" s="334"/>
      <c r="I65" s="334"/>
      <c r="J65" s="334"/>
      <c r="K65" s="334"/>
      <c r="L65" s="334"/>
      <c r="M65" s="334"/>
      <c r="N65" s="334"/>
      <c r="O65" s="334"/>
      <c r="P65" s="334"/>
      <c r="Q65" s="334"/>
    </row>
    <row r="66" spans="1:17">
      <c r="A66" s="334"/>
      <c r="B66" s="334"/>
      <c r="C66" s="334"/>
      <c r="D66" s="334"/>
      <c r="E66" s="334"/>
      <c r="F66" s="334"/>
      <c r="G66" s="334"/>
      <c r="H66" s="334"/>
      <c r="I66" s="334"/>
      <c r="J66" s="334"/>
      <c r="K66" s="334"/>
      <c r="L66" s="334"/>
      <c r="M66" s="334"/>
      <c r="N66" s="334"/>
      <c r="O66" s="334"/>
      <c r="P66" s="334"/>
      <c r="Q66" s="334"/>
    </row>
    <row r="67" spans="1:17">
      <c r="A67" s="334"/>
      <c r="B67" s="334"/>
      <c r="C67" s="334"/>
      <c r="D67" s="334"/>
      <c r="E67" s="334"/>
      <c r="F67" s="334"/>
      <c r="G67" s="334"/>
      <c r="H67" s="334"/>
      <c r="I67" s="334"/>
      <c r="J67" s="334"/>
      <c r="K67" s="334"/>
      <c r="L67" s="334"/>
      <c r="M67" s="334"/>
      <c r="N67" s="334"/>
      <c r="O67" s="334"/>
      <c r="P67" s="334"/>
      <c r="Q67" s="334"/>
    </row>
    <row r="68" spans="1:17">
      <c r="A68" s="334"/>
      <c r="B68" s="334"/>
      <c r="C68" s="334"/>
      <c r="D68" s="334"/>
      <c r="E68" s="334"/>
      <c r="F68" s="334"/>
      <c r="G68" s="334"/>
      <c r="H68" s="334"/>
      <c r="I68" s="334"/>
      <c r="J68" s="334"/>
      <c r="K68" s="334"/>
      <c r="L68" s="334"/>
      <c r="M68" s="334"/>
      <c r="N68" s="334"/>
      <c r="O68" s="334"/>
      <c r="P68" s="334"/>
      <c r="Q68" s="334"/>
    </row>
    <row r="69" spans="1:17">
      <c r="A69" s="334"/>
      <c r="B69" s="334"/>
      <c r="C69" s="334"/>
      <c r="D69" s="334"/>
      <c r="E69" s="334"/>
      <c r="F69" s="334"/>
      <c r="G69" s="334"/>
      <c r="H69" s="334"/>
      <c r="I69" s="334"/>
      <c r="J69" s="334"/>
      <c r="K69" s="334"/>
      <c r="L69" s="334"/>
      <c r="M69" s="334"/>
      <c r="N69" s="334"/>
      <c r="O69" s="334"/>
      <c r="P69" s="334"/>
      <c r="Q69" s="334"/>
    </row>
    <row r="70" spans="1:17">
      <c r="A70" s="334"/>
      <c r="B70" s="334"/>
      <c r="C70" s="334"/>
      <c r="D70" s="334"/>
      <c r="E70" s="334"/>
      <c r="F70" s="334"/>
      <c r="G70" s="334"/>
      <c r="H70" s="334"/>
      <c r="I70" s="334"/>
      <c r="J70" s="334"/>
      <c r="K70" s="334"/>
      <c r="L70" s="334"/>
      <c r="M70" s="334"/>
      <c r="N70" s="334"/>
      <c r="O70" s="334"/>
      <c r="P70" s="334"/>
      <c r="Q70" s="334"/>
    </row>
    <row r="71" spans="1:17">
      <c r="A71" s="334"/>
      <c r="B71" s="334"/>
      <c r="C71" s="334"/>
      <c r="D71" s="334"/>
      <c r="E71" s="334"/>
      <c r="F71" s="334"/>
      <c r="G71" s="334"/>
      <c r="H71" s="334"/>
      <c r="I71" s="334"/>
      <c r="J71" s="334"/>
      <c r="K71" s="334"/>
      <c r="L71" s="334"/>
      <c r="M71" s="334"/>
      <c r="N71" s="334"/>
      <c r="O71" s="334"/>
      <c r="P71" s="334"/>
      <c r="Q71" s="334"/>
    </row>
    <row r="72" spans="1:17">
      <c r="A72" s="334"/>
      <c r="B72" s="334"/>
      <c r="C72" s="334"/>
      <c r="D72" s="334"/>
      <c r="E72" s="334"/>
      <c r="F72" s="334"/>
      <c r="G72" s="334"/>
      <c r="H72" s="334"/>
      <c r="I72" s="334"/>
      <c r="J72" s="334"/>
      <c r="K72" s="334"/>
      <c r="L72" s="334"/>
      <c r="M72" s="334"/>
      <c r="N72" s="334"/>
      <c r="O72" s="334"/>
      <c r="P72" s="334"/>
      <c r="Q72" s="334"/>
    </row>
    <row r="73" spans="1:17">
      <c r="A73" s="334"/>
      <c r="B73" s="334"/>
      <c r="C73" s="334"/>
      <c r="D73" s="334"/>
      <c r="E73" s="334"/>
      <c r="F73" s="334"/>
      <c r="G73" s="334"/>
      <c r="H73" s="334"/>
      <c r="I73" s="334"/>
      <c r="J73" s="334"/>
      <c r="K73" s="334"/>
      <c r="L73" s="334"/>
      <c r="M73" s="334"/>
      <c r="N73" s="334"/>
      <c r="O73" s="334"/>
      <c r="P73" s="334"/>
      <c r="Q73" s="334"/>
    </row>
    <row r="74" spans="1:17">
      <c r="A74" s="334"/>
      <c r="B74" s="334"/>
      <c r="C74" s="334"/>
      <c r="D74" s="334"/>
      <c r="E74" s="334"/>
      <c r="F74" s="334"/>
      <c r="G74" s="334"/>
      <c r="H74" s="334"/>
      <c r="I74" s="334"/>
      <c r="J74" s="334"/>
      <c r="K74" s="334"/>
      <c r="L74" s="334"/>
      <c r="M74" s="334"/>
      <c r="N74" s="334"/>
      <c r="O74" s="334"/>
      <c r="P74" s="334"/>
      <c r="Q74" s="334"/>
    </row>
    <row r="75" spans="1:17">
      <c r="A75" s="334"/>
      <c r="B75" s="334"/>
      <c r="C75" s="334"/>
      <c r="D75" s="334"/>
      <c r="E75" s="334"/>
      <c r="F75" s="334"/>
      <c r="G75" s="334"/>
      <c r="H75" s="334"/>
      <c r="I75" s="334"/>
      <c r="J75" s="334"/>
      <c r="K75" s="334"/>
      <c r="L75" s="334"/>
      <c r="M75" s="334"/>
      <c r="N75" s="334"/>
      <c r="O75" s="334"/>
      <c r="P75" s="334"/>
      <c r="Q75" s="334"/>
    </row>
    <row r="76" spans="1:17">
      <c r="A76" s="334"/>
      <c r="B76" s="334"/>
      <c r="C76" s="334"/>
      <c r="D76" s="334"/>
      <c r="E76" s="334"/>
      <c r="F76" s="334"/>
      <c r="G76" s="334"/>
      <c r="H76" s="334"/>
      <c r="I76" s="334"/>
      <c r="J76" s="334"/>
      <c r="K76" s="334"/>
      <c r="L76" s="334"/>
      <c r="M76" s="334"/>
      <c r="N76" s="334"/>
      <c r="O76" s="334"/>
      <c r="P76" s="334"/>
      <c r="Q76" s="334"/>
    </row>
    <row r="77" spans="1:17">
      <c r="A77" s="334"/>
      <c r="B77" s="334"/>
      <c r="C77" s="334"/>
      <c r="D77" s="334"/>
      <c r="E77" s="334"/>
      <c r="F77" s="334"/>
      <c r="G77" s="334"/>
      <c r="H77" s="334"/>
      <c r="I77" s="334"/>
      <c r="J77" s="334"/>
      <c r="K77" s="334"/>
      <c r="L77" s="334"/>
      <c r="M77" s="334"/>
      <c r="N77" s="334"/>
      <c r="O77" s="334"/>
      <c r="P77" s="334"/>
      <c r="Q77" s="334"/>
    </row>
    <row r="78" spans="1:17">
      <c r="A78" s="334"/>
      <c r="B78" s="334"/>
      <c r="C78" s="334"/>
      <c r="D78" s="334"/>
      <c r="E78" s="334"/>
      <c r="F78" s="334"/>
      <c r="G78" s="334"/>
      <c r="H78" s="334"/>
      <c r="I78" s="334"/>
      <c r="J78" s="334"/>
      <c r="K78" s="334"/>
      <c r="L78" s="334"/>
      <c r="M78" s="334"/>
      <c r="N78" s="334"/>
      <c r="O78" s="334"/>
      <c r="P78" s="334"/>
      <c r="Q78" s="334"/>
    </row>
    <row r="79" spans="1:17">
      <c r="A79" s="334"/>
      <c r="B79" s="334"/>
      <c r="C79" s="334"/>
      <c r="D79" s="334"/>
      <c r="E79" s="334"/>
      <c r="F79" s="334"/>
      <c r="G79" s="334"/>
      <c r="H79" s="334"/>
      <c r="I79" s="334"/>
      <c r="J79" s="334"/>
      <c r="K79" s="334"/>
      <c r="L79" s="334"/>
      <c r="M79" s="334"/>
      <c r="N79" s="334"/>
      <c r="O79" s="334"/>
      <c r="P79" s="334"/>
      <c r="Q79" s="334"/>
    </row>
    <row r="80" spans="1:17">
      <c r="A80" s="334"/>
      <c r="B80" s="334"/>
      <c r="C80" s="334"/>
      <c r="D80" s="334"/>
      <c r="E80" s="334"/>
      <c r="F80" s="334"/>
      <c r="G80" s="334"/>
      <c r="H80" s="334"/>
      <c r="I80" s="334"/>
      <c r="J80" s="334"/>
      <c r="K80" s="334"/>
      <c r="L80" s="334"/>
      <c r="M80" s="334"/>
      <c r="N80" s="334"/>
      <c r="O80" s="334"/>
      <c r="P80" s="334"/>
      <c r="Q80" s="334"/>
    </row>
    <row r="81" spans="1:17">
      <c r="A81" s="334"/>
      <c r="B81" s="334"/>
      <c r="C81" s="334"/>
      <c r="D81" s="334"/>
      <c r="E81" s="334"/>
      <c r="F81" s="334"/>
      <c r="G81" s="334"/>
      <c r="H81" s="334"/>
      <c r="I81" s="334"/>
      <c r="J81" s="334"/>
      <c r="K81" s="334"/>
      <c r="L81" s="334"/>
      <c r="M81" s="334"/>
      <c r="N81" s="334"/>
      <c r="O81" s="334"/>
      <c r="P81" s="334"/>
      <c r="Q81" s="334"/>
    </row>
    <row r="82" spans="1:17">
      <c r="A82" s="334"/>
      <c r="B82" s="334"/>
      <c r="C82" s="334"/>
      <c r="D82" s="334"/>
      <c r="E82" s="334"/>
      <c r="F82" s="334"/>
      <c r="G82" s="334"/>
      <c r="H82" s="334"/>
      <c r="I82" s="334"/>
      <c r="J82" s="334"/>
      <c r="K82" s="334"/>
      <c r="L82" s="334"/>
      <c r="M82" s="334"/>
      <c r="N82" s="334"/>
      <c r="O82" s="334"/>
      <c r="P82" s="334"/>
      <c r="Q82" s="334"/>
    </row>
    <row r="83" spans="1:17">
      <c r="A83" s="334"/>
      <c r="B83" s="334"/>
      <c r="C83" s="334"/>
      <c r="D83" s="334"/>
      <c r="E83" s="334"/>
      <c r="F83" s="334"/>
      <c r="G83" s="334"/>
      <c r="H83" s="334"/>
      <c r="I83" s="334"/>
      <c r="J83" s="334"/>
      <c r="K83" s="334"/>
      <c r="L83" s="334"/>
      <c r="M83" s="334"/>
      <c r="N83" s="334"/>
      <c r="O83" s="334"/>
      <c r="P83" s="334"/>
      <c r="Q83" s="334"/>
    </row>
    <row r="84" spans="1:17">
      <c r="A84" s="334"/>
      <c r="B84" s="334"/>
      <c r="C84" s="334"/>
      <c r="D84" s="334"/>
      <c r="E84" s="334"/>
      <c r="F84" s="334"/>
      <c r="G84" s="334"/>
      <c r="H84" s="334"/>
      <c r="I84" s="334"/>
      <c r="J84" s="334"/>
      <c r="K84" s="334"/>
      <c r="L84" s="334"/>
      <c r="M84" s="334"/>
      <c r="N84" s="334"/>
      <c r="O84" s="334"/>
      <c r="P84" s="334"/>
      <c r="Q84" s="334"/>
    </row>
    <row r="85" spans="1:17">
      <c r="A85" s="334"/>
      <c r="B85" s="334"/>
      <c r="C85" s="334"/>
      <c r="D85" s="334"/>
      <c r="E85" s="334"/>
      <c r="F85" s="334"/>
      <c r="G85" s="334"/>
      <c r="H85" s="334"/>
      <c r="I85" s="334"/>
      <c r="J85" s="334"/>
      <c r="K85" s="334"/>
      <c r="L85" s="334"/>
      <c r="M85" s="334"/>
      <c r="N85" s="334"/>
      <c r="O85" s="334"/>
      <c r="P85" s="334"/>
      <c r="Q85" s="334"/>
    </row>
    <row r="86" spans="1:17">
      <c r="A86" s="334"/>
      <c r="B86" s="334"/>
      <c r="C86" s="334"/>
      <c r="D86" s="334"/>
      <c r="E86" s="334"/>
      <c r="F86" s="334"/>
      <c r="G86" s="334"/>
      <c r="H86" s="334"/>
      <c r="I86" s="334"/>
      <c r="J86" s="334"/>
      <c r="K86" s="334"/>
      <c r="L86" s="334"/>
      <c r="M86" s="334"/>
      <c r="N86" s="334"/>
      <c r="O86" s="334"/>
      <c r="P86" s="334"/>
      <c r="Q86" s="334"/>
    </row>
    <row r="87" spans="1:17">
      <c r="A87" s="334"/>
      <c r="B87" s="334"/>
      <c r="C87" s="334"/>
      <c r="D87" s="334"/>
      <c r="E87" s="334"/>
      <c r="F87" s="334"/>
      <c r="G87" s="334"/>
      <c r="H87" s="334"/>
      <c r="I87" s="334"/>
      <c r="J87" s="334"/>
      <c r="K87" s="334"/>
      <c r="L87" s="334"/>
      <c r="M87" s="334"/>
      <c r="N87" s="334"/>
      <c r="O87" s="334"/>
      <c r="P87" s="334"/>
      <c r="Q87" s="334"/>
    </row>
    <row r="88" spans="1:17">
      <c r="A88" s="334"/>
      <c r="B88" s="334"/>
      <c r="C88" s="334"/>
      <c r="D88" s="334"/>
      <c r="E88" s="334"/>
      <c r="F88" s="334"/>
      <c r="G88" s="334"/>
      <c r="H88" s="334"/>
      <c r="I88" s="334"/>
      <c r="J88" s="334"/>
      <c r="K88" s="334"/>
      <c r="L88" s="334"/>
      <c r="M88" s="334"/>
      <c r="N88" s="334"/>
      <c r="O88" s="334"/>
      <c r="P88" s="334"/>
      <c r="Q88" s="334"/>
    </row>
    <row r="89" spans="1:17">
      <c r="A89" s="334"/>
      <c r="B89" s="334"/>
      <c r="C89" s="334"/>
      <c r="D89" s="334"/>
      <c r="E89" s="334"/>
      <c r="F89" s="334"/>
      <c r="G89" s="334"/>
      <c r="H89" s="334"/>
      <c r="I89" s="334"/>
      <c r="J89" s="334"/>
      <c r="K89" s="334"/>
      <c r="L89" s="334"/>
      <c r="M89" s="334"/>
      <c r="N89" s="334"/>
      <c r="O89" s="334"/>
      <c r="P89" s="334"/>
      <c r="Q89" s="334"/>
    </row>
    <row r="90" spans="1:17">
      <c r="A90" s="334"/>
      <c r="B90" s="334"/>
      <c r="C90" s="334"/>
      <c r="D90" s="334"/>
      <c r="E90" s="334"/>
      <c r="F90" s="334"/>
      <c r="G90" s="334"/>
      <c r="H90" s="334"/>
      <c r="I90" s="334"/>
      <c r="J90" s="334"/>
      <c r="K90" s="334"/>
      <c r="L90" s="334"/>
      <c r="M90" s="334"/>
      <c r="N90" s="334"/>
      <c r="O90" s="334"/>
      <c r="P90" s="334"/>
      <c r="Q90" s="334"/>
    </row>
    <row r="91" spans="1:17">
      <c r="A91" s="334"/>
      <c r="B91" s="334"/>
      <c r="C91" s="334"/>
      <c r="D91" s="334"/>
      <c r="E91" s="334"/>
      <c r="F91" s="334"/>
      <c r="G91" s="334"/>
      <c r="H91" s="334"/>
      <c r="I91" s="334"/>
      <c r="J91" s="334"/>
      <c r="K91" s="334"/>
      <c r="L91" s="334"/>
      <c r="M91" s="334"/>
      <c r="N91" s="334"/>
      <c r="O91" s="334"/>
      <c r="P91" s="334"/>
      <c r="Q91" s="334"/>
    </row>
    <row r="92" spans="1:17">
      <c r="A92" s="334"/>
      <c r="B92" s="334"/>
      <c r="C92" s="334"/>
      <c r="D92" s="334"/>
      <c r="E92" s="334"/>
      <c r="F92" s="334"/>
      <c r="G92" s="334"/>
      <c r="H92" s="334"/>
      <c r="I92" s="334"/>
      <c r="J92" s="334"/>
      <c r="K92" s="334"/>
      <c r="L92" s="334"/>
      <c r="M92" s="334"/>
      <c r="N92" s="334"/>
      <c r="O92" s="334"/>
      <c r="P92" s="334"/>
      <c r="Q92" s="334"/>
    </row>
    <row r="93" spans="1:17">
      <c r="A93" s="334"/>
      <c r="B93" s="334"/>
      <c r="C93" s="334"/>
      <c r="D93" s="334"/>
      <c r="E93" s="334"/>
      <c r="F93" s="334"/>
      <c r="G93" s="334"/>
      <c r="H93" s="334"/>
      <c r="I93" s="334"/>
      <c r="J93" s="334"/>
      <c r="K93" s="334"/>
      <c r="L93" s="334"/>
      <c r="M93" s="334"/>
      <c r="N93" s="334"/>
      <c r="O93" s="334"/>
      <c r="P93" s="334"/>
      <c r="Q93" s="334"/>
    </row>
    <row r="94" spans="1:17">
      <c r="A94" s="334"/>
      <c r="B94" s="334"/>
      <c r="C94" s="334"/>
      <c r="D94" s="334"/>
      <c r="E94" s="334"/>
      <c r="F94" s="334"/>
      <c r="G94" s="334"/>
      <c r="H94" s="334"/>
      <c r="I94" s="334"/>
      <c r="J94" s="334"/>
      <c r="K94" s="334"/>
      <c r="L94" s="334"/>
      <c r="M94" s="334"/>
      <c r="N94" s="334"/>
      <c r="O94" s="334"/>
      <c r="P94" s="334"/>
      <c r="Q94" s="334"/>
    </row>
    <row r="95" spans="1:17">
      <c r="A95" s="334"/>
      <c r="B95" s="334"/>
      <c r="C95" s="334"/>
      <c r="D95" s="334"/>
      <c r="E95" s="334"/>
      <c r="F95" s="334"/>
      <c r="G95" s="334"/>
      <c r="H95" s="334"/>
      <c r="I95" s="334"/>
      <c r="J95" s="334"/>
      <c r="K95" s="334"/>
      <c r="L95" s="334"/>
      <c r="M95" s="334"/>
      <c r="N95" s="334"/>
      <c r="O95" s="334"/>
      <c r="P95" s="334"/>
      <c r="Q95" s="334"/>
    </row>
    <row r="96" spans="1:17">
      <c r="A96" s="334"/>
      <c r="B96" s="334"/>
      <c r="C96" s="334"/>
      <c r="D96" s="334"/>
      <c r="E96" s="334"/>
      <c r="F96" s="334"/>
      <c r="G96" s="334"/>
      <c r="H96" s="334"/>
      <c r="I96" s="334"/>
      <c r="J96" s="334"/>
      <c r="K96" s="334"/>
      <c r="L96" s="334"/>
      <c r="M96" s="334"/>
      <c r="N96" s="334"/>
      <c r="O96" s="334"/>
      <c r="P96" s="334"/>
      <c r="Q96" s="334"/>
    </row>
    <row r="97" spans="1:17">
      <c r="A97" s="334"/>
      <c r="B97" s="334"/>
      <c r="C97" s="334"/>
      <c r="D97" s="334"/>
      <c r="E97" s="334"/>
      <c r="F97" s="334"/>
      <c r="G97" s="334"/>
      <c r="H97" s="334"/>
      <c r="I97" s="334"/>
      <c r="J97" s="334"/>
      <c r="K97" s="334"/>
      <c r="L97" s="334"/>
      <c r="M97" s="334"/>
      <c r="N97" s="334"/>
      <c r="O97" s="334"/>
      <c r="P97" s="334"/>
      <c r="Q97" s="334"/>
    </row>
    <row r="98" spans="1:17">
      <c r="A98" s="334"/>
      <c r="B98" s="334"/>
      <c r="C98" s="334"/>
      <c r="D98" s="334"/>
      <c r="E98" s="334"/>
      <c r="F98" s="334"/>
      <c r="G98" s="334"/>
      <c r="H98" s="334"/>
      <c r="I98" s="334"/>
      <c r="J98" s="334"/>
      <c r="K98" s="334"/>
      <c r="L98" s="334"/>
      <c r="M98" s="334"/>
      <c r="N98" s="334"/>
      <c r="O98" s="334"/>
      <c r="P98" s="334"/>
      <c r="Q98" s="334"/>
    </row>
    <row r="99" spans="1:17">
      <c r="A99" s="334"/>
      <c r="B99" s="334"/>
      <c r="C99" s="334"/>
      <c r="D99" s="334"/>
      <c r="E99" s="334"/>
      <c r="F99" s="334"/>
      <c r="G99" s="334"/>
      <c r="H99" s="334"/>
      <c r="I99" s="334"/>
      <c r="J99" s="334"/>
      <c r="K99" s="334"/>
      <c r="L99" s="334"/>
      <c r="M99" s="334"/>
      <c r="N99" s="334"/>
      <c r="O99" s="334"/>
      <c r="P99" s="334"/>
      <c r="Q99" s="334"/>
    </row>
    <row r="100" spans="1:17">
      <c r="A100" s="334"/>
      <c r="B100" s="334"/>
      <c r="C100" s="334"/>
      <c r="D100" s="334"/>
      <c r="E100" s="334"/>
      <c r="F100" s="334"/>
      <c r="G100" s="334"/>
      <c r="H100" s="334"/>
      <c r="I100" s="334"/>
      <c r="J100" s="334"/>
      <c r="K100" s="334"/>
      <c r="L100" s="334"/>
      <c r="M100" s="334"/>
      <c r="N100" s="334"/>
      <c r="O100" s="334"/>
      <c r="P100" s="334"/>
      <c r="Q100" s="334"/>
    </row>
    <row r="101" spans="1:17">
      <c r="A101" s="334"/>
      <c r="B101" s="334"/>
      <c r="C101" s="334"/>
      <c r="D101" s="334"/>
      <c r="E101" s="334"/>
      <c r="F101" s="334"/>
      <c r="G101" s="334"/>
      <c r="H101" s="334"/>
      <c r="I101" s="334"/>
      <c r="J101" s="334"/>
      <c r="K101" s="334"/>
      <c r="L101" s="334"/>
      <c r="M101" s="334"/>
      <c r="N101" s="334"/>
      <c r="O101" s="334"/>
      <c r="P101" s="334"/>
      <c r="Q101" s="334"/>
    </row>
    <row r="102" spans="1:17">
      <c r="A102" s="334"/>
      <c r="B102" s="334"/>
      <c r="C102" s="334"/>
      <c r="D102" s="334"/>
      <c r="E102" s="334"/>
      <c r="F102" s="334"/>
      <c r="G102" s="334"/>
      <c r="H102" s="334"/>
      <c r="I102" s="334"/>
      <c r="J102" s="334"/>
      <c r="K102" s="334"/>
      <c r="L102" s="334"/>
      <c r="M102" s="334"/>
      <c r="N102" s="334"/>
      <c r="O102" s="334"/>
      <c r="P102" s="334"/>
      <c r="Q102" s="334"/>
    </row>
    <row r="103" spans="1:17">
      <c r="A103" s="334"/>
      <c r="B103" s="334"/>
      <c r="C103" s="334"/>
      <c r="D103" s="334"/>
      <c r="E103" s="334"/>
      <c r="F103" s="334"/>
      <c r="G103" s="334"/>
      <c r="H103" s="334"/>
      <c r="I103" s="334"/>
      <c r="J103" s="334"/>
      <c r="K103" s="334"/>
      <c r="L103" s="334"/>
      <c r="M103" s="334"/>
      <c r="N103" s="334"/>
      <c r="O103" s="334"/>
      <c r="P103" s="334"/>
      <c r="Q103" s="334"/>
    </row>
    <row r="104" spans="1:17">
      <c r="A104" s="334"/>
      <c r="B104" s="334"/>
      <c r="C104" s="334"/>
      <c r="D104" s="334"/>
      <c r="E104" s="334"/>
      <c r="F104" s="334"/>
      <c r="G104" s="334"/>
      <c r="H104" s="334"/>
      <c r="I104" s="334"/>
      <c r="J104" s="334"/>
      <c r="K104" s="334"/>
      <c r="L104" s="334"/>
      <c r="M104" s="334"/>
      <c r="N104" s="334"/>
      <c r="O104" s="334"/>
      <c r="P104" s="334"/>
      <c r="Q104" s="334"/>
    </row>
    <row r="105" spans="1:17">
      <c r="A105" s="334"/>
      <c r="B105" s="334"/>
      <c r="C105" s="334"/>
      <c r="D105" s="334"/>
      <c r="E105" s="334"/>
      <c r="F105" s="334"/>
      <c r="G105" s="334"/>
      <c r="H105" s="334"/>
      <c r="I105" s="334"/>
      <c r="J105" s="334"/>
      <c r="K105" s="334"/>
      <c r="L105" s="334"/>
      <c r="M105" s="334"/>
      <c r="N105" s="334"/>
      <c r="O105" s="334"/>
      <c r="P105" s="334"/>
      <c r="Q105" s="334"/>
    </row>
    <row r="106" spans="1:17">
      <c r="A106" s="334"/>
      <c r="B106" s="334"/>
      <c r="C106" s="334"/>
      <c r="D106" s="334"/>
      <c r="E106" s="334"/>
      <c r="F106" s="334"/>
      <c r="G106" s="334"/>
      <c r="H106" s="334"/>
      <c r="I106" s="334"/>
      <c r="J106" s="334"/>
      <c r="K106" s="334"/>
      <c r="L106" s="334"/>
      <c r="M106" s="334"/>
      <c r="N106" s="334"/>
      <c r="O106" s="334"/>
      <c r="P106" s="334"/>
      <c r="Q106" s="334"/>
    </row>
    <row r="107" spans="1:17">
      <c r="A107" s="334"/>
      <c r="B107" s="334"/>
      <c r="C107" s="334"/>
      <c r="D107" s="334"/>
      <c r="E107" s="334"/>
      <c r="F107" s="334"/>
      <c r="G107" s="334"/>
      <c r="H107" s="334"/>
      <c r="I107" s="334"/>
      <c r="J107" s="334"/>
      <c r="K107" s="334"/>
      <c r="L107" s="334"/>
      <c r="M107" s="334"/>
      <c r="N107" s="334"/>
      <c r="O107" s="334"/>
      <c r="P107" s="334"/>
      <c r="Q107" s="334"/>
    </row>
    <row r="108" spans="1:17">
      <c r="A108" s="334"/>
      <c r="B108" s="334"/>
      <c r="C108" s="334"/>
      <c r="D108" s="334"/>
      <c r="E108" s="334"/>
      <c r="F108" s="334"/>
      <c r="G108" s="334"/>
      <c r="H108" s="334"/>
      <c r="I108" s="334"/>
      <c r="J108" s="334"/>
      <c r="K108" s="334"/>
      <c r="L108" s="334"/>
      <c r="M108" s="334"/>
      <c r="N108" s="334"/>
      <c r="O108" s="334"/>
      <c r="P108" s="334"/>
      <c r="Q108" s="334"/>
    </row>
    <row r="109" spans="1:17">
      <c r="A109" s="334"/>
      <c r="B109" s="334"/>
      <c r="C109" s="334"/>
      <c r="D109" s="334"/>
      <c r="E109" s="334"/>
      <c r="F109" s="334"/>
      <c r="G109" s="334"/>
      <c r="H109" s="334"/>
      <c r="I109" s="334"/>
      <c r="J109" s="334"/>
      <c r="K109" s="334"/>
      <c r="L109" s="334"/>
      <c r="M109" s="334"/>
      <c r="N109" s="334"/>
      <c r="O109" s="334"/>
      <c r="P109" s="334"/>
      <c r="Q109" s="334"/>
    </row>
    <row r="110" spans="1:17">
      <c r="A110" s="334"/>
      <c r="B110" s="334"/>
      <c r="C110" s="334"/>
      <c r="D110" s="334"/>
      <c r="E110" s="334"/>
      <c r="F110" s="334"/>
      <c r="G110" s="334"/>
      <c r="H110" s="334"/>
      <c r="I110" s="334"/>
      <c r="J110" s="334"/>
      <c r="K110" s="334"/>
      <c r="L110" s="334"/>
      <c r="M110" s="334"/>
      <c r="N110" s="334"/>
      <c r="O110" s="334"/>
      <c r="P110" s="334"/>
      <c r="Q110" s="334"/>
    </row>
    <row r="111" spans="1:17">
      <c r="A111" s="334"/>
      <c r="B111" s="334"/>
      <c r="C111" s="334"/>
      <c r="D111" s="334"/>
      <c r="E111" s="334"/>
      <c r="F111" s="334"/>
      <c r="G111" s="334"/>
      <c r="H111" s="334"/>
      <c r="I111" s="334"/>
      <c r="J111" s="334"/>
      <c r="K111" s="334"/>
      <c r="L111" s="334"/>
      <c r="M111" s="334"/>
      <c r="N111" s="334"/>
      <c r="O111" s="334"/>
      <c r="P111" s="334"/>
      <c r="Q111" s="334"/>
    </row>
    <row r="112" spans="1:17">
      <c r="A112" s="334"/>
      <c r="B112" s="334"/>
      <c r="C112" s="334"/>
      <c r="D112" s="334"/>
      <c r="E112" s="334"/>
      <c r="F112" s="334"/>
      <c r="G112" s="334"/>
      <c r="H112" s="334"/>
      <c r="I112" s="334"/>
      <c r="J112" s="334"/>
      <c r="K112" s="334"/>
      <c r="L112" s="334"/>
      <c r="M112" s="334"/>
      <c r="N112" s="334"/>
      <c r="O112" s="334"/>
      <c r="P112" s="334"/>
      <c r="Q112" s="334"/>
    </row>
    <row r="113" spans="1:17">
      <c r="A113" s="334"/>
      <c r="B113" s="334"/>
      <c r="C113" s="334"/>
      <c r="D113" s="334"/>
      <c r="E113" s="334"/>
      <c r="F113" s="334"/>
      <c r="G113" s="334"/>
      <c r="H113" s="334"/>
      <c r="I113" s="334"/>
      <c r="J113" s="334"/>
      <c r="K113" s="334"/>
      <c r="L113" s="334"/>
      <c r="M113" s="334"/>
      <c r="N113" s="334"/>
      <c r="O113" s="334"/>
      <c r="P113" s="334"/>
      <c r="Q113" s="334"/>
    </row>
    <row r="114" spans="1:17">
      <c r="A114" s="334"/>
      <c r="B114" s="334"/>
      <c r="C114" s="334"/>
      <c r="D114" s="334"/>
      <c r="E114" s="334"/>
      <c r="F114" s="334"/>
      <c r="G114" s="334"/>
      <c r="H114" s="334"/>
      <c r="I114" s="334"/>
      <c r="J114" s="334"/>
      <c r="K114" s="334"/>
      <c r="L114" s="334"/>
      <c r="M114" s="334"/>
      <c r="N114" s="334"/>
      <c r="O114" s="334"/>
      <c r="P114" s="334"/>
      <c r="Q114" s="334"/>
    </row>
    <row r="115" spans="1:17">
      <c r="A115" s="334"/>
      <c r="B115" s="334"/>
      <c r="C115" s="334"/>
      <c r="D115" s="334"/>
      <c r="E115" s="334"/>
      <c r="F115" s="334"/>
      <c r="G115" s="334"/>
      <c r="H115" s="334"/>
      <c r="I115" s="334"/>
      <c r="J115" s="334"/>
      <c r="K115" s="334"/>
      <c r="L115" s="334"/>
      <c r="M115" s="334"/>
      <c r="N115" s="334"/>
      <c r="O115" s="334"/>
      <c r="P115" s="334"/>
      <c r="Q115" s="334"/>
    </row>
    <row r="116" spans="1:17">
      <c r="A116" s="334"/>
      <c r="B116" s="334"/>
      <c r="C116" s="334"/>
      <c r="D116" s="334"/>
      <c r="E116" s="334"/>
      <c r="F116" s="334"/>
      <c r="G116" s="334"/>
      <c r="H116" s="334"/>
      <c r="I116" s="334"/>
      <c r="J116" s="334"/>
      <c r="K116" s="334"/>
      <c r="L116" s="334"/>
      <c r="M116" s="334"/>
      <c r="N116" s="334"/>
      <c r="O116" s="334"/>
      <c r="P116" s="334"/>
      <c r="Q116" s="334"/>
    </row>
    <row r="117" spans="1:17">
      <c r="A117" s="334"/>
      <c r="B117" s="334"/>
      <c r="C117" s="334"/>
      <c r="D117" s="334"/>
      <c r="E117" s="334"/>
      <c r="F117" s="334"/>
      <c r="G117" s="334"/>
      <c r="H117" s="334"/>
      <c r="I117" s="334"/>
      <c r="J117" s="334"/>
      <c r="K117" s="334"/>
      <c r="L117" s="334"/>
      <c r="M117" s="334"/>
      <c r="N117" s="334"/>
      <c r="O117" s="334"/>
      <c r="P117" s="334"/>
      <c r="Q117" s="334"/>
    </row>
    <row r="118" spans="1:17">
      <c r="A118" s="334"/>
      <c r="B118" s="334"/>
      <c r="C118" s="334"/>
      <c r="D118" s="334"/>
      <c r="E118" s="334"/>
      <c r="F118" s="334"/>
      <c r="G118" s="334"/>
      <c r="H118" s="334"/>
      <c r="I118" s="334"/>
      <c r="J118" s="334"/>
      <c r="K118" s="334"/>
      <c r="L118" s="334"/>
      <c r="M118" s="334"/>
      <c r="N118" s="334"/>
      <c r="O118" s="334"/>
      <c r="P118" s="334"/>
      <c r="Q118" s="334"/>
    </row>
    <row r="119" spans="1:17">
      <c r="A119" s="334"/>
      <c r="B119" s="334"/>
      <c r="C119" s="334"/>
      <c r="D119" s="334"/>
      <c r="E119" s="334"/>
      <c r="F119" s="334"/>
      <c r="G119" s="334"/>
      <c r="H119" s="334"/>
      <c r="I119" s="334"/>
      <c r="J119" s="334"/>
      <c r="K119" s="334"/>
      <c r="L119" s="334"/>
      <c r="M119" s="334"/>
      <c r="N119" s="334"/>
      <c r="O119" s="334"/>
      <c r="P119" s="334"/>
      <c r="Q119" s="334"/>
    </row>
    <row r="120" spans="1:17">
      <c r="A120" s="334"/>
      <c r="B120" s="334"/>
      <c r="C120" s="334"/>
      <c r="D120" s="334"/>
      <c r="E120" s="334"/>
      <c r="F120" s="334"/>
      <c r="G120" s="334"/>
      <c r="H120" s="334"/>
      <c r="I120" s="334"/>
      <c r="J120" s="334"/>
      <c r="K120" s="334"/>
      <c r="L120" s="334"/>
      <c r="M120" s="334"/>
      <c r="N120" s="334"/>
      <c r="O120" s="334"/>
      <c r="P120" s="334"/>
      <c r="Q120" s="334"/>
    </row>
    <row r="121" spans="1:17">
      <c r="A121" s="334"/>
      <c r="B121" s="334"/>
      <c r="C121" s="334"/>
      <c r="D121" s="334"/>
      <c r="E121" s="334"/>
      <c r="F121" s="334"/>
      <c r="G121" s="334"/>
      <c r="H121" s="334"/>
      <c r="I121" s="334"/>
      <c r="J121" s="334"/>
      <c r="K121" s="334"/>
      <c r="L121" s="334"/>
      <c r="M121" s="334"/>
      <c r="N121" s="334"/>
      <c r="O121" s="334"/>
      <c r="P121" s="334"/>
      <c r="Q121" s="334"/>
    </row>
    <row r="122" spans="1:17">
      <c r="A122" s="334"/>
      <c r="B122" s="334"/>
      <c r="C122" s="334"/>
      <c r="D122" s="334"/>
      <c r="E122" s="334"/>
      <c r="F122" s="334"/>
      <c r="G122" s="334"/>
      <c r="H122" s="334"/>
      <c r="I122" s="334"/>
      <c r="J122" s="334"/>
      <c r="K122" s="334"/>
      <c r="L122" s="334"/>
      <c r="M122" s="334"/>
      <c r="N122" s="334"/>
      <c r="O122" s="334"/>
      <c r="P122" s="334"/>
      <c r="Q122" s="334"/>
    </row>
    <row r="123" spans="1:17">
      <c r="A123" s="334"/>
      <c r="B123" s="334"/>
      <c r="C123" s="334"/>
      <c r="D123" s="334"/>
      <c r="E123" s="334"/>
      <c r="F123" s="334"/>
      <c r="G123" s="334"/>
      <c r="H123" s="334"/>
      <c r="I123" s="334"/>
      <c r="J123" s="334"/>
      <c r="K123" s="334"/>
      <c r="L123" s="334"/>
      <c r="M123" s="334"/>
      <c r="N123" s="334"/>
      <c r="O123" s="334"/>
      <c r="P123" s="334"/>
      <c r="Q123" s="334"/>
    </row>
    <row r="124" spans="1:17">
      <c r="A124" s="334"/>
      <c r="B124" s="334"/>
      <c r="C124" s="334"/>
      <c r="D124" s="334"/>
      <c r="E124" s="334"/>
      <c r="F124" s="334"/>
      <c r="G124" s="334"/>
      <c r="H124" s="334"/>
      <c r="I124" s="334"/>
      <c r="J124" s="334"/>
      <c r="K124" s="334"/>
      <c r="L124" s="334"/>
      <c r="M124" s="334"/>
      <c r="N124" s="334"/>
      <c r="O124" s="334"/>
      <c r="P124" s="334"/>
      <c r="Q124" s="334"/>
    </row>
    <row r="125" spans="1:17">
      <c r="A125" s="334"/>
      <c r="B125" s="334"/>
      <c r="C125" s="334"/>
      <c r="D125" s="334"/>
      <c r="E125" s="334"/>
      <c r="F125" s="334"/>
      <c r="G125" s="334"/>
      <c r="H125" s="334"/>
      <c r="I125" s="334"/>
      <c r="J125" s="334"/>
      <c r="K125" s="334"/>
      <c r="L125" s="334"/>
      <c r="M125" s="334"/>
      <c r="N125" s="334"/>
      <c r="O125" s="334"/>
      <c r="P125" s="334"/>
      <c r="Q125" s="334"/>
    </row>
    <row r="126" spans="1:17">
      <c r="A126" s="334"/>
      <c r="B126" s="334"/>
      <c r="C126" s="334"/>
      <c r="D126" s="334"/>
      <c r="E126" s="334"/>
      <c r="F126" s="334"/>
      <c r="G126" s="334"/>
      <c r="H126" s="334"/>
      <c r="I126" s="334"/>
      <c r="J126" s="334"/>
      <c r="K126" s="334"/>
      <c r="L126" s="334"/>
      <c r="M126" s="334"/>
      <c r="N126" s="334"/>
      <c r="O126" s="334"/>
      <c r="P126" s="334"/>
      <c r="Q126" s="334"/>
    </row>
    <row r="127" spans="1:17">
      <c r="A127" s="334"/>
      <c r="B127" s="334"/>
      <c r="C127" s="334"/>
      <c r="D127" s="334"/>
      <c r="E127" s="334"/>
      <c r="F127" s="334"/>
      <c r="G127" s="334"/>
      <c r="H127" s="334"/>
      <c r="I127" s="334"/>
      <c r="J127" s="334"/>
      <c r="K127" s="334"/>
      <c r="L127" s="334"/>
      <c r="M127" s="334"/>
      <c r="N127" s="334"/>
      <c r="O127" s="334"/>
      <c r="P127" s="334"/>
      <c r="Q127" s="334"/>
    </row>
    <row r="128" spans="1:17">
      <c r="A128" s="334"/>
      <c r="B128" s="334"/>
      <c r="C128" s="334"/>
      <c r="D128" s="334"/>
      <c r="E128" s="334"/>
      <c r="F128" s="334"/>
      <c r="G128" s="334"/>
      <c r="H128" s="334"/>
      <c r="I128" s="334"/>
      <c r="J128" s="334"/>
      <c r="K128" s="334"/>
      <c r="L128" s="334"/>
      <c r="M128" s="334"/>
      <c r="N128" s="334"/>
      <c r="O128" s="334"/>
      <c r="P128" s="334"/>
      <c r="Q128" s="334"/>
    </row>
    <row r="129" spans="1:17">
      <c r="A129" s="334"/>
      <c r="B129" s="334"/>
      <c r="C129" s="334"/>
      <c r="D129" s="334"/>
      <c r="E129" s="334"/>
      <c r="F129" s="334"/>
      <c r="G129" s="334"/>
      <c r="H129" s="334"/>
      <c r="I129" s="334"/>
      <c r="J129" s="334"/>
      <c r="K129" s="334"/>
      <c r="L129" s="334"/>
      <c r="M129" s="334"/>
      <c r="N129" s="334"/>
      <c r="O129" s="334"/>
      <c r="P129" s="334"/>
      <c r="Q129" s="334"/>
    </row>
    <row r="130" spans="1:17">
      <c r="A130" s="334"/>
      <c r="B130" s="334"/>
      <c r="C130" s="334"/>
      <c r="D130" s="334"/>
      <c r="E130" s="334"/>
      <c r="F130" s="334"/>
      <c r="G130" s="334"/>
      <c r="H130" s="334"/>
      <c r="I130" s="334"/>
      <c r="J130" s="334"/>
      <c r="K130" s="334"/>
      <c r="L130" s="334"/>
      <c r="M130" s="334"/>
      <c r="N130" s="334"/>
      <c r="O130" s="334"/>
      <c r="P130" s="334"/>
      <c r="Q130" s="334"/>
    </row>
    <row r="131" spans="1:17">
      <c r="A131" s="334"/>
      <c r="B131" s="334"/>
      <c r="C131" s="334"/>
      <c r="D131" s="334"/>
      <c r="E131" s="334"/>
      <c r="F131" s="334"/>
      <c r="G131" s="334"/>
      <c r="H131" s="334"/>
      <c r="I131" s="334"/>
      <c r="J131" s="334"/>
      <c r="K131" s="334"/>
      <c r="L131" s="334"/>
      <c r="M131" s="334"/>
      <c r="N131" s="334"/>
      <c r="O131" s="334"/>
      <c r="P131" s="334"/>
      <c r="Q131" s="334"/>
    </row>
    <row r="132" spans="1:17">
      <c r="A132" s="334"/>
      <c r="B132" s="334"/>
      <c r="C132" s="334"/>
      <c r="D132" s="334"/>
      <c r="E132" s="334"/>
      <c r="F132" s="334"/>
      <c r="G132" s="334"/>
      <c r="H132" s="334"/>
      <c r="I132" s="334"/>
      <c r="J132" s="334"/>
      <c r="K132" s="334"/>
      <c r="L132" s="334"/>
      <c r="M132" s="334"/>
      <c r="N132" s="334"/>
      <c r="O132" s="334"/>
      <c r="P132" s="334"/>
      <c r="Q132" s="334"/>
    </row>
    <row r="133" spans="1:17">
      <c r="A133" s="334"/>
      <c r="B133" s="334"/>
      <c r="C133" s="334"/>
      <c r="D133" s="334"/>
      <c r="E133" s="334"/>
      <c r="F133" s="334"/>
      <c r="G133" s="334"/>
      <c r="H133" s="334"/>
      <c r="I133" s="334"/>
      <c r="J133" s="334"/>
      <c r="K133" s="334"/>
      <c r="L133" s="334"/>
      <c r="M133" s="334"/>
      <c r="N133" s="334"/>
      <c r="O133" s="334"/>
      <c r="P133" s="334"/>
      <c r="Q133" s="334"/>
    </row>
    <row r="134" spans="1:17">
      <c r="A134" s="334"/>
      <c r="B134" s="334"/>
      <c r="C134" s="334"/>
      <c r="D134" s="334"/>
      <c r="E134" s="334"/>
      <c r="F134" s="334"/>
      <c r="G134" s="334"/>
      <c r="H134" s="334"/>
      <c r="I134" s="334"/>
      <c r="J134" s="334"/>
      <c r="K134" s="334"/>
      <c r="L134" s="334"/>
      <c r="M134" s="334"/>
      <c r="N134" s="334"/>
      <c r="O134" s="334"/>
      <c r="P134" s="334"/>
      <c r="Q134" s="334"/>
    </row>
  </sheetData>
  <customSheetViews>
    <customSheetView guid="{2A0EA35A-7F53-4AD8-895C-C234D094A4A4}" topLeftCell="B1">
      <selection activeCell="T18" sqref="T18"/>
      <pageMargins left="0.7" right="0.7" top="0.75" bottom="0.75" header="0.3" footer="0.3"/>
      <pageSetup paperSize="9" orientation="portrait" r:id="rId1"/>
    </customSheetView>
    <customSheetView guid="{8DA78CF1-615A-4626-9893-6751995631A4}" hiddenColumns="1" topLeftCell="B1">
      <selection activeCell="S12" sqref="S12"/>
      <pageMargins left="0.7" right="0.7" top="0.75" bottom="0.75" header="0.3" footer="0.3"/>
      <pageSetup paperSize="9" orientation="portrait" r:id="rId2"/>
    </customSheetView>
    <customSheetView guid="{899D69CD-4B7E-42BC-9944-5BD922EB798C}" topLeftCell="A22">
      <selection activeCell="A23" sqref="A23"/>
      <pageMargins left="0.7" right="0.7" top="0.75" bottom="0.75" header="0.3" footer="0.3"/>
      <pageSetup paperSize="9" orientation="portrait" r:id="rId3"/>
    </customSheetView>
    <customSheetView guid="{25FAB884-5E17-4008-8139-33D910C7DEFE}">
      <selection activeCell="F21" sqref="F21"/>
      <pageMargins left="0.7" right="0.7" top="0.75" bottom="0.75" header="0.3" footer="0.3"/>
      <pageSetup paperSize="9" orientation="portrait" r:id="rId4"/>
    </customSheetView>
    <customSheetView guid="{57267270-6A97-4850-9DB6-FE6B399379AA}">
      <selection activeCell="M28" sqref="M28"/>
      <pageMargins left="0.7" right="0.7" top="0.75" bottom="0.75" header="0.3" footer="0.3"/>
      <pageSetup paperSize="9" orientation="portrait" r:id="rId5"/>
    </customSheetView>
    <customSheetView guid="{687A4863-1825-4D63-B732-E76682E6DE4F}" hiddenColumns="1">
      <selection activeCell="V9" sqref="V9:V10"/>
      <pageMargins left="0.7" right="0.7" top="0.75" bottom="0.75" header="0.3" footer="0.3"/>
      <pageSetup paperSize="9" orientation="portrait" r:id="rId6"/>
    </customSheetView>
    <customSheetView guid="{9AF4A83C-CF57-4B40-8A74-6A0EA6C2FE5C}" hiddenColumns="1" topLeftCell="B1">
      <selection activeCell="S12" sqref="S12"/>
      <pageMargins left="0.7" right="0.7" top="0.75" bottom="0.75" header="0.3" footer="0.3"/>
      <pageSetup paperSize="9" orientation="portrait" r:id="rId7"/>
    </customSheetView>
    <customSheetView guid="{12F8D032-8143-430B-8DFF-852E8796C402}" hiddenColumns="1">
      <selection activeCell="V9" sqref="V9:V10"/>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L27 I27:K27 E27:F27 C27:D27 M27:P27"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7" customWidth="1"/>
    <col min="2" max="2" width="35.5703125" style="97" customWidth="1"/>
    <col min="3" max="4" width="11.140625" style="97" bestFit="1" customWidth="1"/>
    <col min="5" max="6" width="10.85546875" style="97" bestFit="1" customWidth="1"/>
    <col min="7" max="7" width="11" style="97" bestFit="1" customWidth="1"/>
    <col min="8" max="10" width="10" style="97" customWidth="1"/>
    <col min="11" max="11" width="11" style="97" bestFit="1" customWidth="1"/>
    <col min="12" max="16384" width="9.140625" style="97"/>
  </cols>
  <sheetData>
    <row r="1" spans="1:11">
      <c r="A1" s="96" t="s">
        <v>309</v>
      </c>
      <c r="B1" s="96" t="s">
        <v>310</v>
      </c>
    </row>
    <row r="2" spans="1:11" ht="43.5" customHeight="1" thickBot="1">
      <c r="A2" s="98" t="s">
        <v>323</v>
      </c>
      <c r="B2" s="98" t="s">
        <v>324</v>
      </c>
      <c r="C2" s="99" t="s">
        <v>115</v>
      </c>
      <c r="D2" s="99" t="s">
        <v>111</v>
      </c>
      <c r="E2" s="99" t="s">
        <v>116</v>
      </c>
      <c r="F2" s="99" t="s">
        <v>117</v>
      </c>
      <c r="G2" s="99" t="s">
        <v>118</v>
      </c>
      <c r="H2" s="99" t="s">
        <v>136</v>
      </c>
      <c r="I2" s="99" t="s">
        <v>137</v>
      </c>
      <c r="J2" s="99" t="s">
        <v>146</v>
      </c>
      <c r="K2" s="99" t="s">
        <v>155</v>
      </c>
    </row>
    <row r="3" spans="1:11">
      <c r="A3" s="100" t="s">
        <v>311</v>
      </c>
      <c r="B3" s="100" t="s">
        <v>312</v>
      </c>
      <c r="C3" s="101">
        <v>0</v>
      </c>
      <c r="D3" s="101">
        <v>0</v>
      </c>
      <c r="E3" s="101">
        <v>0</v>
      </c>
      <c r="F3" s="101">
        <v>0</v>
      </c>
      <c r="G3" s="101">
        <f>SUM(G4:G7)</f>
        <v>0</v>
      </c>
      <c r="H3" s="101">
        <f>SUM(H4:H7)</f>
        <v>0</v>
      </c>
      <c r="I3" s="101">
        <f>SUM(I4:I7)</f>
        <v>0</v>
      </c>
      <c r="J3" s="101">
        <f>SUM(J4:J7)</f>
        <v>0</v>
      </c>
      <c r="K3" s="101">
        <f>SUM(K4:K7)</f>
        <v>0</v>
      </c>
    </row>
    <row r="4" spans="1:11">
      <c r="A4" s="102" t="s">
        <v>325</v>
      </c>
      <c r="B4" s="102" t="s">
        <v>319</v>
      </c>
      <c r="C4" s="101"/>
      <c r="D4" s="101"/>
      <c r="E4" s="101"/>
      <c r="F4" s="101"/>
      <c r="G4" s="101">
        <v>0</v>
      </c>
      <c r="H4" s="101"/>
      <c r="I4" s="103"/>
      <c r="J4" s="101"/>
      <c r="K4" s="101">
        <v>0</v>
      </c>
    </row>
    <row r="5" spans="1:11">
      <c r="A5" s="102" t="s">
        <v>326</v>
      </c>
      <c r="B5" s="102" t="s">
        <v>320</v>
      </c>
      <c r="C5" s="101"/>
      <c r="D5" s="101"/>
      <c r="E5" s="101"/>
      <c r="F5" s="101"/>
      <c r="G5" s="101">
        <v>0</v>
      </c>
      <c r="H5" s="101"/>
      <c r="I5" s="101"/>
      <c r="J5" s="101"/>
      <c r="K5" s="101">
        <v>0</v>
      </c>
    </row>
    <row r="6" spans="1:11">
      <c r="A6" s="102" t="s">
        <v>327</v>
      </c>
      <c r="B6" s="102" t="s">
        <v>321</v>
      </c>
      <c r="C6" s="101"/>
      <c r="D6" s="101"/>
      <c r="E6" s="101"/>
      <c r="F6" s="101"/>
      <c r="G6" s="101">
        <v>0</v>
      </c>
      <c r="H6" s="101"/>
      <c r="I6" s="101"/>
      <c r="J6" s="101"/>
      <c r="K6" s="101">
        <v>0</v>
      </c>
    </row>
    <row r="7" spans="1:11">
      <c r="A7" s="102" t="s">
        <v>322</v>
      </c>
      <c r="B7" s="102" t="s">
        <v>322</v>
      </c>
      <c r="C7" s="101"/>
      <c r="D7" s="101"/>
      <c r="E7" s="101"/>
      <c r="F7" s="101"/>
      <c r="G7" s="101">
        <v>0</v>
      </c>
      <c r="H7" s="101"/>
      <c r="I7" s="101"/>
      <c r="J7" s="101"/>
      <c r="K7" s="101">
        <v>0</v>
      </c>
    </row>
    <row r="8" spans="1:11">
      <c r="A8" s="100" t="s">
        <v>313</v>
      </c>
      <c r="B8" s="100" t="s">
        <v>316</v>
      </c>
      <c r="C8" s="101">
        <v>-175632</v>
      </c>
      <c r="D8" s="101">
        <v>-118342</v>
      </c>
      <c r="E8" s="101">
        <v>-225510</v>
      </c>
      <c r="F8" s="101">
        <v>-214100</v>
      </c>
      <c r="G8" s="101">
        <f>SUM(G9:G12)</f>
        <v>-218758</v>
      </c>
      <c r="H8" s="101">
        <f>SUM(H9:H12)</f>
        <v>0</v>
      </c>
      <c r="I8" s="101">
        <f>SUM(I9:I12)</f>
        <v>0</v>
      </c>
      <c r="J8" s="101">
        <f>SUM(J9:J12)</f>
        <v>0</v>
      </c>
      <c r="K8" s="101">
        <f>SUM(K9:K12)</f>
        <v>-280118</v>
      </c>
    </row>
    <row r="9" spans="1:11" s="104" customFormat="1">
      <c r="A9" s="102" t="s">
        <v>325</v>
      </c>
      <c r="B9" s="102" t="s">
        <v>319</v>
      </c>
      <c r="C9" s="103"/>
      <c r="D9" s="103"/>
      <c r="E9" s="103"/>
      <c r="F9" s="103"/>
      <c r="G9" s="103">
        <v>-3021</v>
      </c>
      <c r="H9" s="103"/>
      <c r="I9" s="103"/>
      <c r="J9" s="103"/>
      <c r="K9" s="103">
        <v>-16561</v>
      </c>
    </row>
    <row r="10" spans="1:11" s="104" customFormat="1">
      <c r="A10" s="102" t="s">
        <v>326</v>
      </c>
      <c r="B10" s="102" t="s">
        <v>320</v>
      </c>
      <c r="C10" s="103"/>
      <c r="D10" s="103"/>
      <c r="E10" s="103"/>
      <c r="F10" s="103"/>
      <c r="G10" s="103">
        <v>26764</v>
      </c>
      <c r="H10" s="103"/>
      <c r="I10" s="103"/>
      <c r="J10" s="103"/>
      <c r="K10" s="103">
        <v>-47557</v>
      </c>
    </row>
    <row r="11" spans="1:11" s="104" customFormat="1">
      <c r="A11" s="102" t="s">
        <v>327</v>
      </c>
      <c r="B11" s="102" t="s">
        <v>321</v>
      </c>
      <c r="C11" s="103"/>
      <c r="D11" s="103"/>
      <c r="E11" s="103"/>
      <c r="F11" s="103"/>
      <c r="G11" s="103">
        <v>-252063</v>
      </c>
      <c r="H11" s="103"/>
      <c r="I11" s="103"/>
      <c r="J11" s="103"/>
      <c r="K11" s="103">
        <v>-244530</v>
      </c>
    </row>
    <row r="12" spans="1:11" s="104" customFormat="1">
      <c r="A12" s="102" t="s">
        <v>322</v>
      </c>
      <c r="B12" s="102" t="s">
        <v>322</v>
      </c>
      <c r="C12" s="103"/>
      <c r="D12" s="103"/>
      <c r="E12" s="103"/>
      <c r="F12" s="103"/>
      <c r="G12" s="103">
        <v>9562</v>
      </c>
      <c r="H12" s="103"/>
      <c r="I12" s="103"/>
      <c r="J12" s="103"/>
      <c r="K12" s="103">
        <v>28530</v>
      </c>
    </row>
    <row r="13" spans="1:11">
      <c r="A13" s="100" t="s">
        <v>314</v>
      </c>
      <c r="B13" s="100" t="s">
        <v>317</v>
      </c>
      <c r="C13" s="101">
        <v>31262</v>
      </c>
      <c r="D13" s="101">
        <v>15694</v>
      </c>
      <c r="E13" s="101">
        <v>-5906</v>
      </c>
      <c r="F13" s="101">
        <v>2484</v>
      </c>
      <c r="G13" s="101">
        <f>SUM(G14:G17)</f>
        <v>17680</v>
      </c>
      <c r="H13" s="101">
        <f>SUM(H14:H17)</f>
        <v>0</v>
      </c>
      <c r="I13" s="101">
        <f>SUM(I14:I17)</f>
        <v>0</v>
      </c>
      <c r="J13" s="101">
        <f>SUM(J14:J17)</f>
        <v>0</v>
      </c>
      <c r="K13" s="101">
        <f>SUM(K14:K17)</f>
        <v>7442</v>
      </c>
    </row>
    <row r="14" spans="1:11" s="104" customFormat="1">
      <c r="A14" s="102" t="s">
        <v>325</v>
      </c>
      <c r="B14" s="102" t="s">
        <v>319</v>
      </c>
      <c r="C14" s="103"/>
      <c r="D14" s="103"/>
      <c r="E14" s="103"/>
      <c r="F14" s="103"/>
      <c r="G14" s="103">
        <v>0</v>
      </c>
      <c r="H14" s="103"/>
      <c r="I14" s="103"/>
      <c r="J14" s="103"/>
      <c r="K14" s="103">
        <v>0</v>
      </c>
    </row>
    <row r="15" spans="1:11" s="104" customFormat="1">
      <c r="A15" s="102" t="s">
        <v>326</v>
      </c>
      <c r="B15" s="102" t="s">
        <v>320</v>
      </c>
      <c r="C15" s="103"/>
      <c r="D15" s="103"/>
      <c r="E15" s="103"/>
      <c r="F15" s="103"/>
      <c r="G15" s="103">
        <v>0</v>
      </c>
      <c r="H15" s="103"/>
      <c r="I15" s="103"/>
      <c r="J15" s="103"/>
      <c r="K15" s="103">
        <v>0</v>
      </c>
    </row>
    <row r="16" spans="1:11" s="104" customFormat="1">
      <c r="A16" s="102" t="s">
        <v>327</v>
      </c>
      <c r="B16" s="102" t="s">
        <v>321</v>
      </c>
      <c r="C16" s="103"/>
      <c r="D16" s="103"/>
      <c r="E16" s="103"/>
      <c r="F16" s="103"/>
      <c r="G16" s="103">
        <v>17680</v>
      </c>
      <c r="H16" s="103"/>
      <c r="I16" s="103"/>
      <c r="J16" s="103"/>
      <c r="K16" s="103">
        <v>7442</v>
      </c>
    </row>
    <row r="17" spans="1:11" s="104" customFormat="1">
      <c r="A17" s="102" t="s">
        <v>322</v>
      </c>
      <c r="B17" s="102" t="s">
        <v>322</v>
      </c>
      <c r="C17" s="103"/>
      <c r="D17" s="103"/>
      <c r="E17" s="103"/>
      <c r="F17" s="103"/>
      <c r="G17" s="103">
        <v>0</v>
      </c>
      <c r="H17" s="103"/>
      <c r="I17" s="103"/>
      <c r="J17" s="103"/>
      <c r="K17" s="103">
        <v>0</v>
      </c>
    </row>
    <row r="18" spans="1:11" ht="25.5">
      <c r="A18" s="105" t="s">
        <v>315</v>
      </c>
      <c r="B18" s="100" t="s">
        <v>318</v>
      </c>
      <c r="C18" s="101">
        <v>-1142</v>
      </c>
      <c r="D18" s="101">
        <v>2282</v>
      </c>
      <c r="E18" s="101">
        <v>-237</v>
      </c>
      <c r="F18" s="101">
        <v>-1326</v>
      </c>
      <c r="G18" s="101">
        <f>SUM(G19:G22)</f>
        <v>-2286</v>
      </c>
      <c r="H18" s="101">
        <f>SUM(H19:H22)</f>
        <v>0</v>
      </c>
      <c r="I18" s="101">
        <f>SUM(I19:I22)</f>
        <v>0</v>
      </c>
      <c r="J18" s="101">
        <f>SUM(J19:J22)</f>
        <v>0</v>
      </c>
      <c r="K18" s="101">
        <f>SUM(K19:K22)</f>
        <v>9988</v>
      </c>
    </row>
    <row r="19" spans="1:11" s="104" customFormat="1">
      <c r="A19" s="102" t="s">
        <v>325</v>
      </c>
      <c r="B19" s="102" t="s">
        <v>319</v>
      </c>
      <c r="C19" s="103"/>
      <c r="D19" s="103"/>
      <c r="E19" s="103"/>
      <c r="F19" s="103"/>
      <c r="G19" s="103">
        <v>-2540</v>
      </c>
      <c r="H19" s="103"/>
      <c r="I19" s="103"/>
      <c r="J19" s="103"/>
      <c r="K19" s="103">
        <v>2495</v>
      </c>
    </row>
    <row r="20" spans="1:11" s="104" customFormat="1">
      <c r="A20" s="102" t="s">
        <v>326</v>
      </c>
      <c r="B20" s="102" t="s">
        <v>320</v>
      </c>
      <c r="C20" s="103"/>
      <c r="D20" s="103"/>
      <c r="E20" s="103"/>
      <c r="F20" s="103"/>
      <c r="G20" s="103">
        <v>2111</v>
      </c>
      <c r="H20" s="103"/>
      <c r="I20" s="103"/>
      <c r="J20" s="103"/>
      <c r="K20" s="103">
        <v>2942</v>
      </c>
    </row>
    <row r="21" spans="1:11" s="104" customFormat="1">
      <c r="A21" s="102" t="s">
        <v>327</v>
      </c>
      <c r="B21" s="102" t="s">
        <v>321</v>
      </c>
      <c r="C21" s="103"/>
      <c r="D21" s="103"/>
      <c r="E21" s="103"/>
      <c r="F21" s="103"/>
      <c r="G21" s="103">
        <v>-1857</v>
      </c>
      <c r="H21" s="103"/>
      <c r="I21" s="103"/>
      <c r="J21" s="103"/>
      <c r="K21" s="103">
        <v>4551</v>
      </c>
    </row>
    <row r="22" spans="1:11" s="104" customFormat="1">
      <c r="A22" s="106" t="s">
        <v>322</v>
      </c>
      <c r="B22" s="106" t="s">
        <v>322</v>
      </c>
      <c r="C22" s="107"/>
      <c r="D22" s="107"/>
      <c r="E22" s="107"/>
      <c r="F22" s="107"/>
      <c r="G22" s="107">
        <v>0</v>
      </c>
      <c r="H22" s="107"/>
      <c r="I22" s="107"/>
      <c r="J22" s="107"/>
      <c r="K22" s="107">
        <v>0</v>
      </c>
    </row>
    <row r="23" spans="1:11" s="110" customFormat="1" ht="16.5" customHeight="1">
      <c r="A23" s="108" t="s">
        <v>58</v>
      </c>
      <c r="B23" s="108" t="s">
        <v>43</v>
      </c>
      <c r="C23" s="109">
        <f t="shared" ref="C23:K23" si="0">SUM(C3,C8,C13,C18)</f>
        <v>-145512</v>
      </c>
      <c r="D23" s="109">
        <f t="shared" si="0"/>
        <v>-100366</v>
      </c>
      <c r="E23" s="109">
        <f t="shared" si="0"/>
        <v>-231653</v>
      </c>
      <c r="F23" s="109">
        <f t="shared" si="0"/>
        <v>-212942</v>
      </c>
      <c r="G23" s="109">
        <f t="shared" si="0"/>
        <v>-203364</v>
      </c>
      <c r="H23" s="109">
        <f t="shared" si="0"/>
        <v>0</v>
      </c>
      <c r="I23" s="109">
        <f t="shared" si="0"/>
        <v>0</v>
      </c>
      <c r="J23" s="109">
        <f t="shared" si="0"/>
        <v>0</v>
      </c>
      <c r="K23" s="109">
        <f t="shared" si="0"/>
        <v>-262688</v>
      </c>
    </row>
    <row r="24" spans="1:11">
      <c r="C24" s="97" t="e">
        <f>#REF!-C23</f>
        <v>#REF!</v>
      </c>
      <c r="D24" s="97" t="e">
        <f>#REF!-D23</f>
        <v>#REF!</v>
      </c>
      <c r="E24" s="97" t="e">
        <f>#REF!-E23</f>
        <v>#REF!</v>
      </c>
      <c r="F24" s="97" t="e">
        <f>#REF!-F23</f>
        <v>#REF!</v>
      </c>
      <c r="G24" s="97" t="e">
        <f>#REF!-G23</f>
        <v>#REF!</v>
      </c>
      <c r="H24" s="97" t="e">
        <f>#REF!-H23</f>
        <v>#REF!</v>
      </c>
      <c r="I24" s="97" t="e">
        <f>#REF!-I23</f>
        <v>#REF!</v>
      </c>
      <c r="J24" s="97" t="e">
        <f>#REF!-J23</f>
        <v>#REF!</v>
      </c>
      <c r="K24" s="97" t="e">
        <f>#REF!-K23</f>
        <v>#REF!</v>
      </c>
    </row>
    <row r="34" spans="8:8">
      <c r="H34" s="97" t="s">
        <v>328</v>
      </c>
    </row>
  </sheetData>
  <customSheetViews>
    <customSheetView guid="{2A0EA35A-7F53-4AD8-895C-C234D094A4A4}"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showGridLines="0" workbookViewId="0">
      <selection activeCell="D19" sqref="D19"/>
    </sheetView>
  </sheetViews>
  <sheetFormatPr defaultColWidth="9.140625" defaultRowHeight="12.75"/>
  <cols>
    <col min="1" max="1" width="3.85546875" style="114" customWidth="1"/>
    <col min="2" max="2" width="52.85546875" style="129" customWidth="1"/>
    <col min="3" max="3" width="53.85546875" style="129" customWidth="1"/>
    <col min="4" max="17" width="17.85546875" style="129" customWidth="1"/>
    <col min="18" max="18" width="15.42578125" style="129" customWidth="1"/>
    <col min="19" max="20" width="12.140625" style="114" customWidth="1"/>
    <col min="21" max="16384" width="9.140625" style="114"/>
  </cols>
  <sheetData>
    <row r="1" spans="2:24" ht="26.25" thickBot="1">
      <c r="B1" s="111" t="s">
        <v>408</v>
      </c>
      <c r="C1" s="111" t="s">
        <v>414</v>
      </c>
      <c r="D1" s="113" t="s">
        <v>476</v>
      </c>
      <c r="E1" s="112" t="s">
        <v>475</v>
      </c>
      <c r="F1" s="112" t="s">
        <v>474</v>
      </c>
      <c r="G1" s="113" t="s">
        <v>568</v>
      </c>
      <c r="H1" s="113" t="s">
        <v>415</v>
      </c>
      <c r="I1" s="112" t="s">
        <v>424</v>
      </c>
      <c r="J1" s="112" t="s">
        <v>423</v>
      </c>
      <c r="K1" s="112" t="s">
        <v>422</v>
      </c>
      <c r="L1" s="112" t="s">
        <v>421</v>
      </c>
      <c r="M1" s="112" t="s">
        <v>566</v>
      </c>
      <c r="N1" s="112" t="s">
        <v>596</v>
      </c>
      <c r="O1" s="112" t="s">
        <v>631</v>
      </c>
      <c r="P1" s="112" t="s">
        <v>640</v>
      </c>
      <c r="Q1" s="112" t="s">
        <v>656</v>
      </c>
      <c r="R1" s="112" t="s">
        <v>657</v>
      </c>
      <c r="S1" s="112" t="s">
        <v>673</v>
      </c>
      <c r="T1" s="112" t="s">
        <v>698</v>
      </c>
    </row>
    <row r="2" spans="2:24" ht="12.6" customHeight="1">
      <c r="B2" s="115" t="s">
        <v>409</v>
      </c>
      <c r="C2" s="127" t="s">
        <v>416</v>
      </c>
      <c r="D2" s="116">
        <v>0.46800000000000003</v>
      </c>
      <c r="E2" s="116">
        <v>0.44600000000000001</v>
      </c>
      <c r="F2" s="116">
        <v>0.435</v>
      </c>
      <c r="G2" s="116">
        <v>0.434</v>
      </c>
      <c r="H2" s="116">
        <v>0.48899999999999999</v>
      </c>
      <c r="I2" s="116">
        <v>0.45200000000000001</v>
      </c>
      <c r="J2" s="116">
        <v>0.45</v>
      </c>
      <c r="K2" s="116">
        <v>0.432</v>
      </c>
      <c r="L2" s="116">
        <v>0.55100000000000005</v>
      </c>
      <c r="M2" s="116">
        <v>0.48699999999999999</v>
      </c>
      <c r="N2" s="116">
        <v>0.45700000000000002</v>
      </c>
      <c r="O2" s="116">
        <v>0.47199999999999998</v>
      </c>
      <c r="P2" s="116">
        <v>0.56299999999999994</v>
      </c>
      <c r="Q2" s="116">
        <v>0.51500000000000001</v>
      </c>
      <c r="R2" s="116">
        <v>0.48899999999999999</v>
      </c>
      <c r="S2" s="116">
        <v>0.51900000000000002</v>
      </c>
      <c r="T2" s="116">
        <v>0.59599999999999997</v>
      </c>
      <c r="U2" s="287"/>
      <c r="V2" s="287"/>
      <c r="W2" s="287"/>
      <c r="X2" s="287"/>
    </row>
    <row r="3" spans="2:24" ht="12.6" customHeight="1">
      <c r="B3" s="117" t="s">
        <v>410</v>
      </c>
      <c r="C3" s="128" t="s">
        <v>417</v>
      </c>
      <c r="D3" s="118">
        <v>0.67800000000000005</v>
      </c>
      <c r="E3" s="118">
        <v>0.67200000000000004</v>
      </c>
      <c r="F3" s="118">
        <v>0.67700000000000005</v>
      </c>
      <c r="G3" s="118">
        <v>0.68</v>
      </c>
      <c r="H3" s="118">
        <v>0.7</v>
      </c>
      <c r="I3" s="118">
        <v>0.66800000000000004</v>
      </c>
      <c r="J3" s="118">
        <v>0.67600000000000005</v>
      </c>
      <c r="K3" s="118">
        <v>0.65900000000000003</v>
      </c>
      <c r="L3" s="118">
        <v>0.71699999999999997</v>
      </c>
      <c r="M3" s="118">
        <v>0.69799999999999995</v>
      </c>
      <c r="N3" s="118">
        <v>0.69699999999999995</v>
      </c>
      <c r="O3" s="118">
        <v>0.69499999999999995</v>
      </c>
      <c r="P3" s="118">
        <v>0.72799999999999998</v>
      </c>
      <c r="Q3" s="118">
        <v>0.71499999999999997</v>
      </c>
      <c r="R3" s="118">
        <v>0.69299999999999995</v>
      </c>
      <c r="S3" s="118">
        <v>0.68100000000000005</v>
      </c>
      <c r="T3" s="118">
        <v>0.64800000000000002</v>
      </c>
      <c r="U3" s="287"/>
      <c r="V3" s="287"/>
      <c r="W3" s="287"/>
      <c r="X3" s="287"/>
    </row>
    <row r="4" spans="2:24" ht="12.6" customHeight="1">
      <c r="B4" s="117" t="s">
        <v>674</v>
      </c>
      <c r="C4" s="128" t="s">
        <v>675</v>
      </c>
      <c r="D4" s="119">
        <v>3.7400000000000003E-2</v>
      </c>
      <c r="E4" s="119">
        <v>3.78E-2</v>
      </c>
      <c r="F4" s="119">
        <v>3.7999999999999999E-2</v>
      </c>
      <c r="G4" s="119">
        <v>3.8300000000000001E-2</v>
      </c>
      <c r="H4" s="119">
        <v>3.95E-2</v>
      </c>
      <c r="I4" s="119">
        <v>3.85E-2</v>
      </c>
      <c r="J4" s="119">
        <v>3.7699999999999997E-2</v>
      </c>
      <c r="K4" s="119">
        <v>3.6600000000000001E-2</v>
      </c>
      <c r="L4" s="119">
        <v>3.4799999999999998E-2</v>
      </c>
      <c r="M4" s="119">
        <v>3.4799999999999998E-2</v>
      </c>
      <c r="N4" s="119">
        <v>3.5000000000000003E-2</v>
      </c>
      <c r="O4" s="119">
        <v>3.4599999999999999E-2</v>
      </c>
      <c r="P4" s="119">
        <v>3.32E-2</v>
      </c>
      <c r="Q4" s="119">
        <v>3.09E-2</v>
      </c>
      <c r="R4" s="119">
        <v>2.9499999999999998E-2</v>
      </c>
      <c r="S4" s="119">
        <v>2.87E-2</v>
      </c>
      <c r="T4" s="119">
        <v>2.5600000000000001E-2</v>
      </c>
      <c r="U4" s="287"/>
      <c r="V4" s="287"/>
      <c r="W4" s="287"/>
      <c r="X4" s="287"/>
    </row>
    <row r="5" spans="2:24" ht="12.6" customHeight="1">
      <c r="B5" s="117" t="s">
        <v>411</v>
      </c>
      <c r="C5" s="128" t="s">
        <v>418</v>
      </c>
      <c r="D5" s="118">
        <v>0.25700000000000001</v>
      </c>
      <c r="E5" s="118">
        <v>0.255</v>
      </c>
      <c r="F5" s="118">
        <v>0.26</v>
      </c>
      <c r="G5" s="118">
        <v>0.25900000000000001</v>
      </c>
      <c r="H5" s="120">
        <v>0.25900000000000001</v>
      </c>
      <c r="I5" s="120">
        <v>0.25</v>
      </c>
      <c r="J5" s="120">
        <v>0.251</v>
      </c>
      <c r="K5" s="120">
        <v>0.23599999999999999</v>
      </c>
      <c r="L5" s="120">
        <v>0.23200000000000001</v>
      </c>
      <c r="M5" s="118">
        <v>0.22500000000000001</v>
      </c>
      <c r="N5" s="118">
        <v>0.224</v>
      </c>
      <c r="O5" s="120">
        <v>0.22500000000000001</v>
      </c>
      <c r="P5" s="120">
        <v>0.23899999999999999</v>
      </c>
      <c r="Q5" s="120">
        <v>0.23799999999999999</v>
      </c>
      <c r="R5" s="120">
        <v>0.245</v>
      </c>
      <c r="S5" s="120">
        <v>0.249</v>
      </c>
      <c r="T5" s="118">
        <v>0.28799999999999998</v>
      </c>
      <c r="U5" s="287"/>
      <c r="V5" s="287"/>
      <c r="W5" s="287"/>
      <c r="X5" s="287"/>
    </row>
    <row r="6" spans="2:24" ht="12.6" customHeight="1">
      <c r="B6" s="117" t="s">
        <v>412</v>
      </c>
      <c r="C6" s="128" t="s">
        <v>419</v>
      </c>
      <c r="D6" s="118">
        <v>0.95899999999999996</v>
      </c>
      <c r="E6" s="118">
        <v>0.96299999999999997</v>
      </c>
      <c r="F6" s="118">
        <v>0.95899999999999996</v>
      </c>
      <c r="G6" s="118">
        <v>0.96699999999999997</v>
      </c>
      <c r="H6" s="120">
        <v>0.96</v>
      </c>
      <c r="I6" s="120">
        <v>0.93600000000000005</v>
      </c>
      <c r="J6" s="120">
        <v>0.93500000000000005</v>
      </c>
      <c r="K6" s="120">
        <v>0.91900000000000004</v>
      </c>
      <c r="L6" s="120">
        <v>0.93899999999999995</v>
      </c>
      <c r="M6" s="118">
        <v>0.94</v>
      </c>
      <c r="N6" s="118">
        <v>0.95199999999999996</v>
      </c>
      <c r="O6" s="120">
        <v>0.91600000000000004</v>
      </c>
      <c r="P6" s="120">
        <v>0.93600000000000005</v>
      </c>
      <c r="Q6" s="120">
        <v>0.86</v>
      </c>
      <c r="R6" s="120">
        <v>0.85199999999999998</v>
      </c>
      <c r="S6" s="120">
        <v>0.82799999999999996</v>
      </c>
      <c r="T6" s="118">
        <v>0.79700000000000004</v>
      </c>
      <c r="U6" s="287"/>
      <c r="V6" s="287"/>
      <c r="W6" s="287"/>
      <c r="X6" s="287"/>
    </row>
    <row r="7" spans="2:24" ht="12.6" customHeight="1">
      <c r="B7" s="117" t="s">
        <v>676</v>
      </c>
      <c r="C7" s="128" t="s">
        <v>677</v>
      </c>
      <c r="D7" s="118">
        <v>6.4000000000000001E-2</v>
      </c>
      <c r="E7" s="118">
        <v>5.8999999999999997E-2</v>
      </c>
      <c r="F7" s="118">
        <v>0.06</v>
      </c>
      <c r="G7" s="118">
        <v>5.8000000000000003E-2</v>
      </c>
      <c r="H7" s="120">
        <v>0.06</v>
      </c>
      <c r="I7" s="120">
        <v>5.8000000000000003E-2</v>
      </c>
      <c r="J7" s="120">
        <v>5.5E-2</v>
      </c>
      <c r="K7" s="120">
        <v>4.5999999999999999E-2</v>
      </c>
      <c r="L7" s="120">
        <v>4.8000000000000001E-2</v>
      </c>
      <c r="M7" s="118">
        <v>4.7E-2</v>
      </c>
      <c r="N7" s="118">
        <v>0.05</v>
      </c>
      <c r="O7" s="120">
        <v>5.1999999999999998E-2</v>
      </c>
      <c r="P7" s="120">
        <v>5.1999999999999998E-2</v>
      </c>
      <c r="Q7" s="120">
        <v>5.6000000000000001E-2</v>
      </c>
      <c r="R7" s="120">
        <v>5.7000000000000002E-2</v>
      </c>
      <c r="S7" s="120">
        <v>5.8000000000000003E-2</v>
      </c>
      <c r="T7" s="118">
        <v>0.06</v>
      </c>
      <c r="U7" s="287"/>
      <c r="V7" s="287"/>
      <c r="W7" s="287"/>
      <c r="X7" s="287"/>
    </row>
    <row r="8" spans="2:24" ht="12.6" customHeight="1">
      <c r="B8" s="117" t="s">
        <v>678</v>
      </c>
      <c r="C8" s="128" t="s">
        <v>679</v>
      </c>
      <c r="D8" s="118">
        <v>0.59199999999999997</v>
      </c>
      <c r="E8" s="118">
        <v>0.621</v>
      </c>
      <c r="F8" s="118">
        <v>0.628</v>
      </c>
      <c r="G8" s="118">
        <v>0.63100000000000001</v>
      </c>
      <c r="H8" s="120">
        <v>0.627</v>
      </c>
      <c r="I8" s="120">
        <v>0.63800000000000001</v>
      </c>
      <c r="J8" s="120">
        <v>0.63600000000000001</v>
      </c>
      <c r="K8" s="120">
        <v>0.50900000000000001</v>
      </c>
      <c r="L8" s="120">
        <v>0.52</v>
      </c>
      <c r="M8" s="118">
        <v>0.53600000000000003</v>
      </c>
      <c r="N8" s="118">
        <v>0.53400000000000003</v>
      </c>
      <c r="O8" s="120">
        <v>0.53800000000000003</v>
      </c>
      <c r="P8" s="120">
        <v>0.53900000000000003</v>
      </c>
      <c r="Q8" s="120">
        <v>0.54800000000000004</v>
      </c>
      <c r="R8" s="120">
        <v>0.56899999999999995</v>
      </c>
      <c r="S8" s="120">
        <v>0.57899999999999996</v>
      </c>
      <c r="T8" s="118">
        <v>0.57199999999999995</v>
      </c>
      <c r="U8" s="287"/>
      <c r="V8" s="287"/>
      <c r="W8" s="287"/>
      <c r="X8" s="287"/>
    </row>
    <row r="9" spans="2:24" ht="12.6" customHeight="1">
      <c r="B9" s="117" t="s">
        <v>680</v>
      </c>
      <c r="C9" s="128" t="s">
        <v>681</v>
      </c>
      <c r="D9" s="119">
        <v>7.3000000000000001E-3</v>
      </c>
      <c r="E9" s="119">
        <v>6.6E-3</v>
      </c>
      <c r="F9" s="119">
        <v>6.4000000000000003E-3</v>
      </c>
      <c r="G9" s="119">
        <v>6.3E-3</v>
      </c>
      <c r="H9" s="121">
        <v>6.6E-3</v>
      </c>
      <c r="I9" s="121">
        <v>7.9000000000000008E-3</v>
      </c>
      <c r="J9" s="121">
        <v>8.0000000000000002E-3</v>
      </c>
      <c r="K9" s="121">
        <v>8.6E-3</v>
      </c>
      <c r="L9" s="121">
        <v>8.0999999999999996E-3</v>
      </c>
      <c r="M9" s="119">
        <v>8.8000000000000005E-3</v>
      </c>
      <c r="N9" s="119">
        <v>9.1999999999999998E-3</v>
      </c>
      <c r="O9" s="121">
        <v>8.5000000000000006E-3</v>
      </c>
      <c r="P9" s="121">
        <v>9.5999999999999992E-3</v>
      </c>
      <c r="Q9" s="121">
        <v>1.06E-2</v>
      </c>
      <c r="R9" s="121">
        <v>1.0699999999999999E-2</v>
      </c>
      <c r="S9" s="121">
        <v>1.21E-2</v>
      </c>
      <c r="T9" s="119">
        <v>1.14E-2</v>
      </c>
      <c r="U9" s="287"/>
      <c r="V9" s="287"/>
      <c r="W9" s="287"/>
      <c r="X9" s="287"/>
    </row>
    <row r="10" spans="2:24" ht="12.6" customHeight="1">
      <c r="B10" s="117" t="s">
        <v>682</v>
      </c>
      <c r="C10" s="128" t="s">
        <v>683</v>
      </c>
      <c r="D10" s="118">
        <v>0.115</v>
      </c>
      <c r="E10" s="118">
        <v>0.11</v>
      </c>
      <c r="F10" s="118">
        <v>0.11700000000000001</v>
      </c>
      <c r="G10" s="118">
        <v>0.121</v>
      </c>
      <c r="H10" s="120">
        <v>0.113</v>
      </c>
      <c r="I10" s="120">
        <v>0.113</v>
      </c>
      <c r="J10" s="120">
        <v>0.11</v>
      </c>
      <c r="K10" s="120">
        <v>0.11899999999999999</v>
      </c>
      <c r="L10" s="120">
        <v>0.104</v>
      </c>
      <c r="M10" s="118">
        <v>0.10100000000000001</v>
      </c>
      <c r="N10" s="118">
        <v>0.11</v>
      </c>
      <c r="O10" s="120">
        <v>9.7000000000000003E-2</v>
      </c>
      <c r="P10" s="120">
        <v>8.5000000000000006E-2</v>
      </c>
      <c r="Q10" s="120">
        <v>7.0999999999999994E-2</v>
      </c>
      <c r="R10" s="120">
        <v>6.2E-2</v>
      </c>
      <c r="S10" s="120">
        <v>4.3999999999999997E-2</v>
      </c>
      <c r="T10" s="118">
        <v>4.1000000000000002E-2</v>
      </c>
      <c r="U10" s="287"/>
      <c r="V10" s="287"/>
      <c r="W10" s="287"/>
      <c r="X10" s="287"/>
    </row>
    <row r="11" spans="2:24" ht="12.6" customHeight="1">
      <c r="B11" s="117" t="s">
        <v>684</v>
      </c>
      <c r="C11" s="128" t="s">
        <v>685</v>
      </c>
      <c r="D11" s="118">
        <v>0.13300000000000001</v>
      </c>
      <c r="E11" s="118">
        <v>0.128</v>
      </c>
      <c r="F11" s="118">
        <v>0.13700000000000001</v>
      </c>
      <c r="G11" s="118">
        <v>0.14199999999999999</v>
      </c>
      <c r="H11" s="120">
        <v>0.13300000000000001</v>
      </c>
      <c r="I11" s="120">
        <v>0.13300000000000001</v>
      </c>
      <c r="J11" s="120">
        <v>0.13</v>
      </c>
      <c r="K11" s="120">
        <v>0.14199999999999999</v>
      </c>
      <c r="L11" s="120">
        <v>0.124</v>
      </c>
      <c r="M11" s="118">
        <v>0.121</v>
      </c>
      <c r="N11" s="118">
        <v>0.13200000000000001</v>
      </c>
      <c r="O11" s="120">
        <v>0.11700000000000001</v>
      </c>
      <c r="P11" s="120">
        <v>0.10100000000000001</v>
      </c>
      <c r="Q11" s="120">
        <v>8.5999999999999993E-2</v>
      </c>
      <c r="R11" s="120">
        <v>7.4999999999999997E-2</v>
      </c>
      <c r="S11" s="120">
        <v>5.2999999999999999E-2</v>
      </c>
      <c r="T11" s="118">
        <v>0.05</v>
      </c>
      <c r="U11" s="287"/>
      <c r="V11" s="287"/>
      <c r="W11" s="287"/>
      <c r="X11" s="287"/>
    </row>
    <row r="12" spans="2:24" ht="12.6" customHeight="1">
      <c r="B12" s="117" t="s">
        <v>686</v>
      </c>
      <c r="C12" s="128" t="s">
        <v>687</v>
      </c>
      <c r="D12" s="118">
        <v>1.4E-2</v>
      </c>
      <c r="E12" s="118">
        <v>1.2999999999999999E-2</v>
      </c>
      <c r="F12" s="118">
        <v>1.4E-2</v>
      </c>
      <c r="G12" s="118">
        <v>1.4E-2</v>
      </c>
      <c r="H12" s="120">
        <v>1.4E-2</v>
      </c>
      <c r="I12" s="120">
        <v>1.2999999999999999E-2</v>
      </c>
      <c r="J12" s="120">
        <v>1.2999999999999999E-2</v>
      </c>
      <c r="K12" s="120">
        <v>1.2999999999999999E-2</v>
      </c>
      <c r="L12" s="120">
        <v>1.0999999999999999E-2</v>
      </c>
      <c r="M12" s="118">
        <v>1.0999999999999999E-2</v>
      </c>
      <c r="N12" s="118">
        <v>1.2E-2</v>
      </c>
      <c r="O12" s="120">
        <v>0.01</v>
      </c>
      <c r="P12" s="120">
        <v>8.9999999999999993E-3</v>
      </c>
      <c r="Q12" s="120">
        <v>8.0000000000000002E-3</v>
      </c>
      <c r="R12" s="120">
        <v>7.0000000000000001E-3</v>
      </c>
      <c r="S12" s="120">
        <v>5.0000000000000001E-3</v>
      </c>
      <c r="T12" s="118">
        <v>4.0000000000000001E-3</v>
      </c>
      <c r="U12" s="287"/>
      <c r="V12" s="287"/>
      <c r="W12" s="287"/>
      <c r="X12" s="287"/>
    </row>
    <row r="13" spans="2:24" ht="12.6" customHeight="1">
      <c r="B13" s="117" t="s">
        <v>688</v>
      </c>
      <c r="C13" s="128" t="s">
        <v>689</v>
      </c>
      <c r="D13" s="119">
        <v>0.15670000000000001</v>
      </c>
      <c r="E13" s="119">
        <v>0.1651</v>
      </c>
      <c r="F13" s="119">
        <v>0.16900000000000001</v>
      </c>
      <c r="G13" s="119">
        <v>0.16689999999999999</v>
      </c>
      <c r="H13" s="121">
        <v>0.16669999999999999</v>
      </c>
      <c r="I13" s="121">
        <v>0.17780000000000001</v>
      </c>
      <c r="J13" s="121">
        <v>0.17610000000000001</v>
      </c>
      <c r="K13" s="121">
        <v>0.1598</v>
      </c>
      <c r="L13" s="121">
        <v>0.16470000000000001</v>
      </c>
      <c r="M13" s="119">
        <v>0.16259999999999999</v>
      </c>
      <c r="N13" s="119">
        <v>0.16139999999999999</v>
      </c>
      <c r="O13" s="121">
        <v>0.17069999999999999</v>
      </c>
      <c r="P13" s="121">
        <v>0.16789999999999999</v>
      </c>
      <c r="Q13" s="121">
        <v>0.18759999999999999</v>
      </c>
      <c r="R13" s="121">
        <v>0.187</v>
      </c>
      <c r="S13" s="121">
        <v>0.20039999999999999</v>
      </c>
      <c r="T13" s="119">
        <v>0.2089</v>
      </c>
      <c r="U13" s="287"/>
      <c r="V13" s="287"/>
      <c r="W13" s="287"/>
      <c r="X13" s="287"/>
    </row>
    <row r="14" spans="2:24" ht="12.6" customHeight="1">
      <c r="B14" s="117" t="s">
        <v>690</v>
      </c>
      <c r="C14" s="128" t="s">
        <v>691</v>
      </c>
      <c r="D14" s="119">
        <v>0.14699999999999999</v>
      </c>
      <c r="E14" s="119">
        <v>0.15529999999999999</v>
      </c>
      <c r="F14" s="119">
        <v>0.15920000000000001</v>
      </c>
      <c r="G14" s="119">
        <v>0.15279999999999999</v>
      </c>
      <c r="H14" s="119">
        <v>0.15310000000000001</v>
      </c>
      <c r="I14" s="119">
        <v>0.15629999999999999</v>
      </c>
      <c r="J14" s="119">
        <v>0.15509999999999999</v>
      </c>
      <c r="K14" s="119">
        <v>0.1411</v>
      </c>
      <c r="L14" s="119">
        <v>0.14630000000000001</v>
      </c>
      <c r="M14" s="119">
        <v>0.14449999999999999</v>
      </c>
      <c r="N14" s="119">
        <v>0.1431</v>
      </c>
      <c r="O14" s="119">
        <v>0.15210000000000001</v>
      </c>
      <c r="P14" s="119">
        <v>0.14910000000000001</v>
      </c>
      <c r="Q14" s="119">
        <v>0.1681</v>
      </c>
      <c r="R14" s="119">
        <v>0.1676</v>
      </c>
      <c r="S14" s="119">
        <v>0.18010000000000001</v>
      </c>
      <c r="T14" s="119">
        <v>0.18870000000000001</v>
      </c>
      <c r="U14" s="287"/>
      <c r="V14" s="287"/>
      <c r="W14" s="287"/>
      <c r="X14" s="287"/>
    </row>
    <row r="15" spans="2:24" ht="12.6" customHeight="1">
      <c r="B15" s="117" t="s">
        <v>413</v>
      </c>
      <c r="C15" s="128" t="s">
        <v>420</v>
      </c>
      <c r="D15" s="122">
        <v>218.58</v>
      </c>
      <c r="E15" s="122">
        <v>220.65</v>
      </c>
      <c r="F15" s="122">
        <v>228</v>
      </c>
      <c r="G15" s="122">
        <v>234.86</v>
      </c>
      <c r="H15" s="122">
        <v>239.04</v>
      </c>
      <c r="I15" s="122">
        <v>241.21</v>
      </c>
      <c r="J15" s="122">
        <v>246.75</v>
      </c>
      <c r="K15" s="122">
        <v>260.51</v>
      </c>
      <c r="L15" s="122">
        <v>262.42</v>
      </c>
      <c r="M15" s="122">
        <v>250.07</v>
      </c>
      <c r="N15" s="122">
        <v>258.77999999999997</v>
      </c>
      <c r="O15" s="122">
        <v>264.27999999999997</v>
      </c>
      <c r="P15" s="122">
        <v>266.83999999999997</v>
      </c>
      <c r="Q15" s="122">
        <v>273.17</v>
      </c>
      <c r="R15" s="122">
        <v>278.45999999999998</v>
      </c>
      <c r="S15" s="122">
        <v>280.44</v>
      </c>
      <c r="T15" s="122">
        <v>284.64999999999998</v>
      </c>
      <c r="U15" s="287"/>
      <c r="V15" s="287"/>
      <c r="W15" s="287"/>
      <c r="X15" s="287"/>
    </row>
    <row r="16" spans="2:24" ht="13.5" customHeight="1" thickBot="1">
      <c r="B16" s="123" t="s">
        <v>692</v>
      </c>
      <c r="C16" s="123" t="s">
        <v>693</v>
      </c>
      <c r="D16" s="124">
        <v>4.5599999999999996</v>
      </c>
      <c r="E16" s="124">
        <v>11.09</v>
      </c>
      <c r="F16" s="124">
        <v>16.57</v>
      </c>
      <c r="G16" s="124">
        <v>22.15</v>
      </c>
      <c r="H16" s="124">
        <v>4.37</v>
      </c>
      <c r="I16" s="124">
        <v>10.85</v>
      </c>
      <c r="J16" s="124">
        <v>15.86</v>
      </c>
      <c r="K16" s="124">
        <v>23.7</v>
      </c>
      <c r="L16" s="124">
        <v>3.32</v>
      </c>
      <c r="M16" s="283">
        <v>9.16</v>
      </c>
      <c r="N16" s="283">
        <v>15.98</v>
      </c>
      <c r="O16" s="124">
        <v>20.95</v>
      </c>
      <c r="P16" s="124">
        <v>1.67</v>
      </c>
      <c r="Q16" s="124">
        <v>4.66</v>
      </c>
      <c r="R16" s="124">
        <v>9.36</v>
      </c>
      <c r="S16" s="124">
        <v>10.16</v>
      </c>
      <c r="T16" s="283">
        <v>1.49</v>
      </c>
      <c r="U16" s="287"/>
      <c r="V16" s="287"/>
      <c r="W16" s="287"/>
      <c r="X16" s="287"/>
    </row>
    <row r="17" spans="1:18" ht="13.5" customHeight="1">
      <c r="B17" s="125"/>
      <c r="C17" s="125"/>
      <c r="D17" s="126"/>
      <c r="E17" s="126"/>
      <c r="F17" s="126"/>
      <c r="G17" s="126"/>
      <c r="H17" s="126"/>
      <c r="I17" s="126"/>
      <c r="J17" s="126"/>
      <c r="K17" s="126"/>
      <c r="L17" s="126"/>
      <c r="M17" s="126"/>
      <c r="N17" s="126"/>
      <c r="O17" s="126"/>
      <c r="P17" s="126"/>
      <c r="Q17" s="126"/>
      <c r="R17" s="126"/>
    </row>
    <row r="18" spans="1:18" ht="61.5" customHeight="1">
      <c r="A18" s="145" t="s">
        <v>425</v>
      </c>
      <c r="B18" s="239" t="s">
        <v>704</v>
      </c>
      <c r="C18" s="244" t="s">
        <v>705</v>
      </c>
      <c r="D18" s="126"/>
      <c r="E18" s="126"/>
      <c r="F18" s="126"/>
      <c r="G18" s="126"/>
      <c r="H18" s="126"/>
      <c r="I18" s="126"/>
      <c r="J18" s="126"/>
      <c r="K18" s="126"/>
      <c r="L18" s="126"/>
      <c r="M18" s="126"/>
      <c r="N18" s="126"/>
      <c r="O18" s="126"/>
      <c r="P18" s="126"/>
      <c r="Q18" s="126"/>
      <c r="R18" s="126"/>
    </row>
    <row r="19" spans="1:18" ht="29.25">
      <c r="A19" s="145" t="s">
        <v>426</v>
      </c>
      <c r="B19" s="396" t="s">
        <v>659</v>
      </c>
      <c r="C19" s="244" t="s">
        <v>632</v>
      </c>
      <c r="D19" s="126"/>
      <c r="E19" s="126"/>
      <c r="F19" s="126"/>
      <c r="G19" s="126"/>
      <c r="H19" s="126"/>
      <c r="I19" s="126"/>
      <c r="J19" s="126"/>
      <c r="K19" s="126"/>
      <c r="L19" s="126"/>
      <c r="M19" s="126"/>
      <c r="N19" s="126"/>
      <c r="O19" s="126"/>
      <c r="P19" s="126"/>
      <c r="Q19" s="126"/>
      <c r="R19" s="126"/>
    </row>
    <row r="20" spans="1:18" ht="29.25">
      <c r="A20" s="145" t="s">
        <v>427</v>
      </c>
      <c r="B20" s="239" t="s">
        <v>633</v>
      </c>
      <c r="C20" s="244" t="s">
        <v>634</v>
      </c>
      <c r="D20" s="126"/>
      <c r="E20" s="126"/>
      <c r="F20" s="126"/>
      <c r="G20" s="126"/>
      <c r="H20" s="126"/>
      <c r="I20" s="126"/>
      <c r="J20" s="126"/>
      <c r="K20" s="126"/>
      <c r="L20" s="126"/>
      <c r="M20" s="126"/>
      <c r="N20" s="126"/>
      <c r="O20" s="126"/>
      <c r="P20" s="126"/>
      <c r="Q20" s="126"/>
      <c r="R20" s="126"/>
    </row>
    <row r="21" spans="1:18" ht="29.25">
      <c r="A21" s="145" t="s">
        <v>428</v>
      </c>
      <c r="B21" s="239" t="s">
        <v>541</v>
      </c>
      <c r="C21" s="244" t="s">
        <v>542</v>
      </c>
      <c r="D21" s="126"/>
      <c r="E21" s="126"/>
      <c r="F21" s="126"/>
      <c r="G21" s="126"/>
      <c r="H21" s="126"/>
      <c r="I21" s="126"/>
      <c r="J21" s="126"/>
      <c r="K21" s="126"/>
      <c r="L21" s="126"/>
      <c r="M21" s="126"/>
      <c r="N21" s="126"/>
      <c r="O21" s="126"/>
      <c r="P21" s="126"/>
      <c r="Q21" s="126"/>
      <c r="R21" s="126"/>
    </row>
    <row r="22" spans="1:18" ht="29.25">
      <c r="A22" s="145" t="s">
        <v>429</v>
      </c>
      <c r="B22" s="239" t="s">
        <v>430</v>
      </c>
      <c r="C22" s="244" t="s">
        <v>543</v>
      </c>
      <c r="D22" s="126"/>
      <c r="E22" s="126"/>
      <c r="F22" s="126"/>
      <c r="G22" s="126"/>
      <c r="H22" s="126"/>
      <c r="I22" s="126"/>
      <c r="J22" s="126"/>
      <c r="K22" s="126"/>
      <c r="L22" s="126"/>
      <c r="M22" s="126"/>
      <c r="N22" s="126"/>
      <c r="O22" s="126"/>
      <c r="P22" s="126"/>
      <c r="Q22" s="126"/>
      <c r="R22" s="126"/>
    </row>
    <row r="23" spans="1:18" ht="48.75">
      <c r="A23" s="145" t="s">
        <v>431</v>
      </c>
      <c r="B23" s="239" t="s">
        <v>432</v>
      </c>
      <c r="C23" s="244" t="s">
        <v>706</v>
      </c>
      <c r="D23" s="126"/>
      <c r="E23" s="126"/>
      <c r="F23" s="126"/>
      <c r="G23" s="126"/>
      <c r="H23" s="126"/>
      <c r="I23" s="126"/>
      <c r="J23" s="126"/>
      <c r="K23" s="126"/>
      <c r="L23" s="126"/>
      <c r="M23" s="126"/>
      <c r="N23" s="126"/>
      <c r="O23" s="126"/>
      <c r="P23" s="126"/>
      <c r="Q23" s="126"/>
      <c r="R23" s="126"/>
    </row>
    <row r="24" spans="1:18" ht="22.5" customHeight="1">
      <c r="A24" s="145" t="s">
        <v>433</v>
      </c>
      <c r="B24" s="239" t="s">
        <v>434</v>
      </c>
      <c r="C24" s="244" t="s">
        <v>544</v>
      </c>
      <c r="D24" s="126"/>
      <c r="E24" s="126"/>
      <c r="F24" s="126"/>
      <c r="G24" s="126"/>
      <c r="H24" s="126"/>
      <c r="I24" s="126"/>
      <c r="J24" s="126"/>
      <c r="K24" s="126"/>
      <c r="L24" s="126"/>
      <c r="M24" s="126"/>
      <c r="N24" s="126"/>
      <c r="O24" s="126"/>
      <c r="P24" s="126"/>
      <c r="Q24" s="126"/>
      <c r="R24" s="126"/>
    </row>
    <row r="25" spans="1:18" ht="29.25">
      <c r="A25" s="145" t="s">
        <v>435</v>
      </c>
      <c r="B25" s="239" t="s">
        <v>436</v>
      </c>
      <c r="C25" s="244" t="s">
        <v>545</v>
      </c>
      <c r="D25" s="126"/>
      <c r="E25" s="126"/>
      <c r="F25" s="126"/>
      <c r="G25" s="126"/>
      <c r="H25" s="126"/>
      <c r="I25" s="126"/>
      <c r="J25" s="126"/>
      <c r="K25" s="126"/>
      <c r="L25" s="126"/>
      <c r="M25" s="126"/>
      <c r="N25" s="126"/>
      <c r="O25" s="126"/>
      <c r="P25" s="126"/>
      <c r="Q25" s="126"/>
      <c r="R25" s="126"/>
    </row>
    <row r="26" spans="1:18" ht="19.5">
      <c r="A26" s="145" t="s">
        <v>437</v>
      </c>
      <c r="B26" s="239" t="s">
        <v>438</v>
      </c>
      <c r="C26" s="244" t="s">
        <v>707</v>
      </c>
      <c r="D26" s="126"/>
      <c r="E26" s="126"/>
      <c r="F26" s="126"/>
      <c r="G26" s="126"/>
      <c r="H26" s="126"/>
      <c r="I26" s="126"/>
      <c r="J26" s="126"/>
      <c r="K26" s="126"/>
      <c r="L26" s="126"/>
      <c r="M26" s="126"/>
      <c r="N26" s="126"/>
      <c r="O26" s="126"/>
      <c r="P26" s="126"/>
      <c r="Q26" s="126"/>
      <c r="R26" s="126"/>
    </row>
    <row r="27" spans="1:18" ht="19.5">
      <c r="A27" s="145" t="s">
        <v>439</v>
      </c>
      <c r="B27" s="239" t="s">
        <v>635</v>
      </c>
      <c r="C27" s="244" t="s">
        <v>546</v>
      </c>
      <c r="D27" s="126"/>
      <c r="E27" s="126"/>
      <c r="F27" s="126"/>
      <c r="G27" s="126"/>
      <c r="H27" s="126"/>
      <c r="I27" s="126"/>
      <c r="J27" s="126"/>
      <c r="K27" s="126"/>
      <c r="L27" s="126"/>
      <c r="M27" s="126"/>
      <c r="N27" s="126"/>
      <c r="O27" s="126"/>
      <c r="P27" s="126"/>
      <c r="Q27" s="126"/>
      <c r="R27" s="126"/>
    </row>
    <row r="28" spans="1:18">
      <c r="D28" s="126"/>
      <c r="E28" s="126"/>
      <c r="F28" s="126"/>
      <c r="G28" s="126"/>
      <c r="H28" s="126"/>
      <c r="I28" s="126"/>
      <c r="J28" s="126"/>
      <c r="K28" s="126"/>
      <c r="L28" s="126"/>
      <c r="M28" s="126"/>
      <c r="N28" s="126"/>
      <c r="O28" s="126"/>
      <c r="P28" s="126"/>
      <c r="Q28" s="126"/>
      <c r="R28" s="126"/>
    </row>
    <row r="29" spans="1:18">
      <c r="D29" s="126"/>
      <c r="E29" s="126"/>
      <c r="F29" s="126"/>
      <c r="G29" s="126"/>
      <c r="H29" s="126"/>
      <c r="I29" s="126"/>
      <c r="J29" s="126"/>
      <c r="K29" s="126"/>
      <c r="L29" s="126"/>
      <c r="M29" s="126"/>
      <c r="N29" s="126"/>
      <c r="O29" s="126"/>
      <c r="P29" s="126"/>
      <c r="Q29" s="126"/>
      <c r="R29" s="126"/>
    </row>
    <row r="30" spans="1:18">
      <c r="D30" s="126"/>
      <c r="E30" s="126"/>
      <c r="F30" s="126"/>
      <c r="G30" s="126"/>
      <c r="H30" s="126"/>
      <c r="I30" s="126"/>
      <c r="J30" s="126"/>
      <c r="K30" s="126"/>
      <c r="L30" s="126"/>
      <c r="M30" s="126"/>
      <c r="N30" s="126"/>
      <c r="O30" s="126"/>
      <c r="P30" s="126"/>
      <c r="Q30" s="126"/>
      <c r="R30" s="126"/>
    </row>
    <row r="31" spans="1:18">
      <c r="D31" s="126"/>
      <c r="E31" s="126"/>
      <c r="F31" s="126"/>
      <c r="G31" s="126"/>
      <c r="H31" s="126"/>
      <c r="I31" s="126"/>
      <c r="J31" s="126"/>
      <c r="K31" s="126"/>
      <c r="L31" s="126"/>
      <c r="M31" s="126"/>
      <c r="N31" s="126"/>
      <c r="O31" s="126"/>
      <c r="P31" s="126"/>
      <c r="Q31" s="126"/>
      <c r="R31" s="126"/>
    </row>
  </sheetData>
  <customSheetViews>
    <customSheetView guid="{2A0EA35A-7F53-4AD8-895C-C234D094A4A4}" showGridLines="0">
      <selection activeCell="D19" sqref="D19"/>
      <pageMargins left="0.7" right="0.7" top="0.75" bottom="0.75" header="0.3" footer="0.3"/>
      <pageSetup paperSize="9" orientation="portrait" r:id="rId1"/>
    </customSheetView>
    <customSheetView guid="{8DA78CF1-615A-4626-9893-6751995631A4}" showGridLines="0" topLeftCell="D1">
      <selection activeCell="K23" sqref="K23"/>
      <pageMargins left="0.7" right="0.7" top="0.75" bottom="0.75" header="0.3" footer="0.3"/>
      <pageSetup paperSize="9" orientation="portrait" r:id="rId2"/>
    </customSheetView>
    <customSheetView guid="{899D69CD-4B7E-42BC-9944-5BD922EB798C}">
      <selection activeCell="F20" sqref="F20"/>
      <pageMargins left="0.7" right="0.7" top="0.75" bottom="0.75" header="0.3" footer="0.3"/>
      <pageSetup paperSize="9" orientation="portrait" r:id="rId3"/>
    </customSheetView>
    <customSheetView guid="{25FAB884-5E17-4008-8139-33D910C7DEFE}">
      <selection activeCell="F20" sqref="F20"/>
      <pageMargins left="0.7" right="0.7" top="0.75" bottom="0.75" header="0.3" footer="0.3"/>
      <pageSetup paperSize="9" orientation="portrait" r:id="rId4"/>
    </customSheetView>
    <customSheetView guid="{57267270-6A97-4850-9DB6-FE6B399379AA}" showGridLines="0">
      <selection activeCell="C27" sqref="C27"/>
      <pageMargins left="0.7" right="0.7" top="0.75" bottom="0.75" header="0.3" footer="0.3"/>
      <pageSetup paperSize="9" orientation="portrait" r:id="rId5"/>
    </customSheetView>
    <customSheetView guid="{687A4863-1825-4D63-B732-E76682E6DE4F}" showGridLines="0">
      <selection activeCell="B11" sqref="B11"/>
      <pageMargins left="0.7" right="0.7" top="0.75" bottom="0.75" header="0.3" footer="0.3"/>
      <pageSetup paperSize="9" orientation="portrait" r:id="rId6"/>
    </customSheetView>
    <customSheetView guid="{9AF4A83C-CF57-4B40-8A74-6A0EA6C2FE5C}" showGridLines="0" topLeftCell="D1">
      <selection activeCell="K23" sqref="K23"/>
      <pageMargins left="0.7" right="0.7" top="0.75" bottom="0.75" header="0.3" footer="0.3"/>
      <pageSetup paperSize="9" orientation="portrait" r:id="rId7"/>
    </customSheetView>
    <customSheetView guid="{12F8D032-8143-430B-8DFF-852E8796C402}" showGridLines="0" topLeftCell="I1">
      <selection activeCell="R26" sqref="R26"/>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7"/>
  <sheetViews>
    <sheetView showGridLines="0" workbookViewId="0">
      <selection sqref="A1:XFD1048576"/>
    </sheetView>
  </sheetViews>
  <sheetFormatPr defaultColWidth="9.140625" defaultRowHeight="15"/>
  <cols>
    <col min="1" max="1" width="56.140625" style="3" bestFit="1" customWidth="1"/>
    <col min="2" max="2" width="55" style="3" bestFit="1" customWidth="1"/>
    <col min="3" max="6" width="10.85546875" style="3" bestFit="1" customWidth="1"/>
    <col min="7" max="8" width="11" style="3" customWidth="1"/>
    <col min="9" max="12" width="11.42578125" style="3" customWidth="1"/>
    <col min="13" max="16384" width="9.140625" style="3"/>
  </cols>
  <sheetData>
    <row r="2" spans="1:12" s="89" customFormat="1" ht="15.75" thickBot="1">
      <c r="A2" s="44" t="s">
        <v>532</v>
      </c>
      <c r="B2" s="44" t="s">
        <v>533</v>
      </c>
      <c r="C2" s="52" t="s">
        <v>172</v>
      </c>
      <c r="D2" s="52" t="s">
        <v>569</v>
      </c>
      <c r="E2" s="54" t="s">
        <v>570</v>
      </c>
      <c r="F2" s="54" t="s">
        <v>595</v>
      </c>
      <c r="G2" s="54" t="s">
        <v>629</v>
      </c>
      <c r="H2" s="54">
        <v>43921</v>
      </c>
      <c r="I2" s="54">
        <v>44012</v>
      </c>
      <c r="J2" s="204">
        <v>44104</v>
      </c>
      <c r="K2" s="204">
        <v>44196</v>
      </c>
      <c r="L2" s="204">
        <v>44286</v>
      </c>
    </row>
    <row r="3" spans="1:12" s="89" customFormat="1">
      <c r="A3" s="219" t="s">
        <v>534</v>
      </c>
      <c r="B3" s="219" t="s">
        <v>473</v>
      </c>
      <c r="C3" s="220"/>
      <c r="D3" s="220"/>
      <c r="E3" s="220"/>
      <c r="F3" s="220"/>
      <c r="G3" s="220"/>
      <c r="H3" s="220"/>
      <c r="I3" s="220"/>
      <c r="J3" s="220"/>
      <c r="K3" s="220"/>
      <c r="L3" s="220"/>
    </row>
    <row r="4" spans="1:12" s="89" customFormat="1">
      <c r="A4" s="221" t="s">
        <v>535</v>
      </c>
      <c r="B4" s="221" t="s">
        <v>178</v>
      </c>
      <c r="C4" s="222">
        <v>127863304</v>
      </c>
      <c r="D4" s="222">
        <v>128673847</v>
      </c>
      <c r="E4" s="222">
        <v>130272454</v>
      </c>
      <c r="F4" s="222">
        <v>132561589</v>
      </c>
      <c r="G4" s="222">
        <v>132377036</v>
      </c>
      <c r="H4" s="222">
        <v>136527701</v>
      </c>
      <c r="I4" s="222">
        <v>130427157</v>
      </c>
      <c r="J4" s="222">
        <v>129855264</v>
      </c>
      <c r="K4" s="222">
        <v>128731412</v>
      </c>
      <c r="L4" s="222">
        <v>129415833</v>
      </c>
    </row>
    <row r="5" spans="1:12" s="89" customFormat="1">
      <c r="A5" s="223" t="s">
        <v>536</v>
      </c>
      <c r="B5" s="223" t="s">
        <v>547</v>
      </c>
      <c r="C5" s="224">
        <v>-564638</v>
      </c>
      <c r="D5" s="224">
        <v>-557472</v>
      </c>
      <c r="E5" s="224">
        <v>-552330</v>
      </c>
      <c r="F5" s="224">
        <v>-574167</v>
      </c>
      <c r="G5" s="224">
        <v>-571396</v>
      </c>
      <c r="H5" s="224">
        <v>-561675</v>
      </c>
      <c r="I5" s="224">
        <v>-564395</v>
      </c>
      <c r="J5" s="224">
        <v>-559747</v>
      </c>
      <c r="K5" s="224">
        <v>-586945</v>
      </c>
      <c r="L5" s="224">
        <v>-635468</v>
      </c>
    </row>
    <row r="6" spans="1:12" s="89" customFormat="1">
      <c r="A6" s="225" t="s">
        <v>326</v>
      </c>
      <c r="B6" s="225" t="s">
        <v>320</v>
      </c>
      <c r="C6" s="226"/>
      <c r="D6" s="226"/>
      <c r="E6" s="226"/>
      <c r="F6" s="226"/>
      <c r="G6" s="226"/>
      <c r="H6" s="226"/>
      <c r="I6" s="226"/>
      <c r="J6" s="226"/>
      <c r="K6" s="226"/>
      <c r="L6" s="226"/>
    </row>
    <row r="7" spans="1:12" s="89" customFormat="1">
      <c r="A7" s="221" t="s">
        <v>535</v>
      </c>
      <c r="B7" s="221" t="s">
        <v>178</v>
      </c>
      <c r="C7" s="222">
        <v>5696092</v>
      </c>
      <c r="D7" s="222">
        <v>6093723</v>
      </c>
      <c r="E7" s="222">
        <v>6783875</v>
      </c>
      <c r="F7" s="222">
        <v>6863173</v>
      </c>
      <c r="G7" s="222">
        <v>6546106</v>
      </c>
      <c r="H7" s="222">
        <v>6762337</v>
      </c>
      <c r="I7" s="222">
        <v>7674190</v>
      </c>
      <c r="J7" s="222">
        <v>7784160</v>
      </c>
      <c r="K7" s="222">
        <v>8657703</v>
      </c>
      <c r="L7" s="222">
        <v>7616780</v>
      </c>
    </row>
    <row r="8" spans="1:12" s="89" customFormat="1">
      <c r="A8" s="223" t="s">
        <v>536</v>
      </c>
      <c r="B8" s="223" t="s">
        <v>547</v>
      </c>
      <c r="C8" s="224">
        <v>-530276</v>
      </c>
      <c r="D8" s="224">
        <v>-552727</v>
      </c>
      <c r="E8" s="224">
        <v>-615669</v>
      </c>
      <c r="F8" s="224">
        <v>-639951</v>
      </c>
      <c r="G8" s="224">
        <v>-582541</v>
      </c>
      <c r="H8" s="224">
        <v>-741693</v>
      </c>
      <c r="I8" s="224">
        <v>-817540</v>
      </c>
      <c r="J8" s="224">
        <v>-819377</v>
      </c>
      <c r="K8" s="224">
        <v>-801265</v>
      </c>
      <c r="L8" s="224">
        <v>-691011</v>
      </c>
    </row>
    <row r="9" spans="1:12" s="89" customFormat="1">
      <c r="A9" s="225" t="s">
        <v>327</v>
      </c>
      <c r="B9" s="225" t="s">
        <v>321</v>
      </c>
      <c r="C9" s="226"/>
      <c r="D9" s="226"/>
      <c r="E9" s="226"/>
      <c r="F9" s="226"/>
      <c r="G9" s="226"/>
      <c r="H9" s="226"/>
      <c r="I9" s="226"/>
      <c r="J9" s="226"/>
      <c r="K9" s="226"/>
      <c r="L9" s="226"/>
    </row>
    <row r="10" spans="1:12" s="89" customFormat="1">
      <c r="A10" s="221" t="s">
        <v>535</v>
      </c>
      <c r="B10" s="221" t="s">
        <v>178</v>
      </c>
      <c r="C10" s="222">
        <v>5703661</v>
      </c>
      <c r="D10" s="222">
        <v>6091077</v>
      </c>
      <c r="E10" s="222">
        <v>6095285</v>
      </c>
      <c r="F10" s="222">
        <v>6539299</v>
      </c>
      <c r="G10" s="222">
        <v>6834385</v>
      </c>
      <c r="H10" s="222">
        <v>7142136</v>
      </c>
      <c r="I10" s="222">
        <v>7506574</v>
      </c>
      <c r="J10" s="222">
        <v>7629025</v>
      </c>
      <c r="K10" s="222">
        <v>7710686</v>
      </c>
      <c r="L10" s="222">
        <v>8049896</v>
      </c>
    </row>
    <row r="11" spans="1:12" s="89" customFormat="1">
      <c r="A11" s="223" t="s">
        <v>536</v>
      </c>
      <c r="B11" s="223" t="s">
        <v>547</v>
      </c>
      <c r="C11" s="224">
        <v>-3236293</v>
      </c>
      <c r="D11" s="224">
        <v>-3480014</v>
      </c>
      <c r="E11" s="224">
        <v>-3562717</v>
      </c>
      <c r="F11" s="224">
        <v>-3751732</v>
      </c>
      <c r="G11" s="224">
        <v>-3886229</v>
      </c>
      <c r="H11" s="224">
        <v>-4043474</v>
      </c>
      <c r="I11" s="224">
        <v>-4288048</v>
      </c>
      <c r="J11" s="224">
        <v>-4530127</v>
      </c>
      <c r="K11" s="224">
        <v>-4666098</v>
      </c>
      <c r="L11" s="224">
        <v>-4778336</v>
      </c>
    </row>
    <row r="12" spans="1:12" s="89" customFormat="1">
      <c r="A12" s="225" t="s">
        <v>465</v>
      </c>
      <c r="B12" s="225" t="s">
        <v>465</v>
      </c>
      <c r="C12" s="226"/>
      <c r="D12" s="226"/>
      <c r="E12" s="226"/>
      <c r="F12" s="226"/>
      <c r="G12" s="226"/>
      <c r="H12" s="226"/>
      <c r="I12" s="226"/>
      <c r="J12" s="226"/>
      <c r="K12" s="226"/>
      <c r="L12" s="226"/>
    </row>
    <row r="13" spans="1:12" s="89" customFormat="1">
      <c r="A13" s="221" t="s">
        <v>535</v>
      </c>
      <c r="B13" s="221" t="s">
        <v>178</v>
      </c>
      <c r="C13" s="222">
        <v>764562</v>
      </c>
      <c r="D13" s="222">
        <v>738455</v>
      </c>
      <c r="E13" s="222">
        <v>720352</v>
      </c>
      <c r="F13" s="222">
        <v>768655</v>
      </c>
      <c r="G13" s="222">
        <v>769208</v>
      </c>
      <c r="H13" s="222">
        <v>756701</v>
      </c>
      <c r="I13" s="222">
        <v>723074</v>
      </c>
      <c r="J13" s="222">
        <v>718820</v>
      </c>
      <c r="K13" s="222">
        <v>725705</v>
      </c>
      <c r="L13" s="222">
        <v>697068</v>
      </c>
    </row>
    <row r="14" spans="1:12" s="89" customFormat="1" ht="15.75" thickBot="1">
      <c r="A14" s="227" t="s">
        <v>536</v>
      </c>
      <c r="B14" s="227" t="s">
        <v>547</v>
      </c>
      <c r="C14" s="228">
        <v>-53115</v>
      </c>
      <c r="D14" s="228">
        <v>-74297</v>
      </c>
      <c r="E14" s="228">
        <v>-89355</v>
      </c>
      <c r="F14" s="228">
        <v>-151498</v>
      </c>
      <c r="G14" s="228">
        <v>-204198</v>
      </c>
      <c r="H14" s="228">
        <v>-216716</v>
      </c>
      <c r="I14" s="228">
        <v>-224036</v>
      </c>
      <c r="J14" s="228">
        <v>-222906</v>
      </c>
      <c r="K14" s="228">
        <v>-221470</v>
      </c>
      <c r="L14" s="228">
        <v>-223129</v>
      </c>
    </row>
    <row r="15" spans="1:12" s="89" customFormat="1">
      <c r="A15" s="229" t="s">
        <v>537</v>
      </c>
      <c r="B15" s="229" t="s">
        <v>538</v>
      </c>
      <c r="C15" s="230">
        <v>140027619</v>
      </c>
      <c r="D15" s="230">
        <v>141597102</v>
      </c>
      <c r="E15" s="230">
        <v>143871966</v>
      </c>
      <c r="F15" s="230">
        <f>F13+F10+F7+F4</f>
        <v>146732716</v>
      </c>
      <c r="G15" s="230">
        <f>G13+G10+G7+G4</f>
        <v>146526735</v>
      </c>
      <c r="H15" s="230">
        <v>151188875</v>
      </c>
      <c r="I15" s="230">
        <v>146330995</v>
      </c>
      <c r="J15" s="230">
        <v>145987269</v>
      </c>
      <c r="K15" s="230">
        <f>K4+K7+K10+K13</f>
        <v>145825506</v>
      </c>
      <c r="L15" s="230">
        <f>L4+L7+L10+L13</f>
        <v>145779577</v>
      </c>
    </row>
    <row r="16" spans="1:12" s="89" customFormat="1">
      <c r="A16" s="231" t="s">
        <v>536</v>
      </c>
      <c r="B16" s="232" t="s">
        <v>548</v>
      </c>
      <c r="C16" s="233">
        <v>-4384322</v>
      </c>
      <c r="D16" s="233">
        <v>-4664510</v>
      </c>
      <c r="E16" s="233">
        <v>-4820071</v>
      </c>
      <c r="F16" s="233">
        <f>F14+F11+F8+F5</f>
        <v>-5117348</v>
      </c>
      <c r="G16" s="233">
        <f>G14+G11+G8+G5</f>
        <v>-5244364</v>
      </c>
      <c r="H16" s="233">
        <v>-5563558</v>
      </c>
      <c r="I16" s="233">
        <v>-5894019</v>
      </c>
      <c r="J16" s="233">
        <v>-6132157</v>
      </c>
      <c r="K16" s="233">
        <f>K5+K8+K11+K14</f>
        <v>-6275778</v>
      </c>
      <c r="L16" s="233">
        <f>L5+L8+L11+L14</f>
        <v>-6327944</v>
      </c>
    </row>
    <row r="17" spans="1:12" s="89" customFormat="1" ht="18" customHeight="1" thickBot="1">
      <c r="A17" s="234" t="s">
        <v>539</v>
      </c>
      <c r="B17" s="235" t="s">
        <v>540</v>
      </c>
      <c r="C17" s="236">
        <v>135643297</v>
      </c>
      <c r="D17" s="236">
        <v>136932592</v>
      </c>
      <c r="E17" s="236">
        <v>139051895</v>
      </c>
      <c r="F17" s="236">
        <f>SUM(F15:F16)</f>
        <v>141615368</v>
      </c>
      <c r="G17" s="236">
        <f>SUM(G15:G16)</f>
        <v>141282371</v>
      </c>
      <c r="H17" s="236">
        <v>145625317</v>
      </c>
      <c r="I17" s="236">
        <v>140436976</v>
      </c>
      <c r="J17" s="236">
        <v>139855112</v>
      </c>
      <c r="K17" s="236">
        <f>SUM(K15:K16)</f>
        <v>139549728</v>
      </c>
      <c r="L17" s="236">
        <f>SUM(L15:L16)</f>
        <v>139451633</v>
      </c>
    </row>
  </sheetData>
  <customSheetViews>
    <customSheetView guid="{2A0EA35A-7F53-4AD8-895C-C234D094A4A4}" showGridLines="0">
      <selection sqref="A1:XFD1048576"/>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1"/>
    </customSheetView>
    <customSheetView guid="{25FAB884-5E17-4008-8139-33D910C7DEFE}" fitToPage="1">
      <selection activeCell="G33" sqref="G33"/>
      <pageMargins left="0.7" right="0.7" top="0.75" bottom="0.75" header="0.3" footer="0.3"/>
      <pageSetup paperSize="9" scale="85" fitToHeight="0" orientation="landscape" r:id="rId2"/>
    </customSheetView>
    <customSheetView guid="{57267270-6A97-4850-9DB6-FE6B399379AA}" showGridLines="0">
      <selection activeCell="B26" sqref="B26"/>
      <pageMargins left="0.7" right="0.7" top="0.75" bottom="0.75" header="0.3" footer="0.3"/>
    </customSheetView>
    <customSheetView guid="{687A4863-1825-4D63-B732-E76682E6DE4F}" showGridLines="0">
      <selection activeCell="B25" sqref="B25"/>
      <pageMargins left="0.7" right="0.7" top="0.75" bottom="0.75" header="0.3" footer="0.3"/>
    </customSheetView>
    <customSheetView guid="{9AF4A83C-CF57-4B40-8A74-6A0EA6C2FE5C}" showGridLines="0">
      <selection activeCell="B26" sqref="B26"/>
      <pageMargins left="0.7" right="0.7" top="0.75" bottom="0.75" header="0.3" footer="0.3"/>
    </customSheetView>
    <customSheetView guid="{12F8D032-8143-430B-8DFF-852E8796C402}" showGridLines="0" topLeftCell="C1">
      <selection activeCell="M17" sqref="M1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3"/>
  <sheetViews>
    <sheetView showGridLines="0" topLeftCell="Q1" workbookViewId="0">
      <selection activeCell="G25" sqref="G25"/>
    </sheetView>
  </sheetViews>
  <sheetFormatPr defaultColWidth="9.140625" defaultRowHeight="16.5"/>
  <cols>
    <col min="1" max="1" width="1.5703125" style="132" customWidth="1"/>
    <col min="2" max="2" width="4.42578125" style="132" customWidth="1"/>
    <col min="3" max="3" width="39.85546875" style="132" customWidth="1"/>
    <col min="4" max="4" width="38.140625" style="132" customWidth="1"/>
    <col min="5" max="5" width="6.85546875" style="132" bestFit="1" customWidth="1"/>
    <col min="6" max="6" width="6.85546875" style="132" customWidth="1"/>
    <col min="7" max="7" width="16.85546875" style="140" customWidth="1"/>
    <col min="8" max="10" width="16.85546875" style="132" customWidth="1"/>
    <col min="11" max="11" width="16.85546875" style="140" customWidth="1"/>
    <col min="12" max="21" width="16.85546875" style="132" customWidth="1"/>
    <col min="22" max="23" width="13.85546875" style="132" customWidth="1"/>
    <col min="24" max="16384" width="9.140625" style="132"/>
  </cols>
  <sheetData>
    <row r="1" spans="3:27" ht="12" customHeight="1">
      <c r="C1" s="135"/>
      <c r="D1" s="135"/>
      <c r="E1" s="135"/>
      <c r="F1" s="135"/>
      <c r="G1" s="139"/>
      <c r="H1" s="139"/>
      <c r="I1" s="139"/>
      <c r="J1" s="139"/>
      <c r="K1" s="139"/>
      <c r="L1" s="139"/>
      <c r="M1" s="139"/>
      <c r="N1" s="139"/>
      <c r="O1" s="139"/>
      <c r="P1" s="139"/>
      <c r="Q1" s="139"/>
      <c r="R1" s="139"/>
      <c r="S1" s="139"/>
      <c r="T1" s="139"/>
      <c r="U1" s="139"/>
    </row>
    <row r="2" spans="3:27" ht="26.25" customHeight="1">
      <c r="C2" s="130" t="s">
        <v>660</v>
      </c>
      <c r="D2" s="130" t="s">
        <v>450</v>
      </c>
      <c r="E2" s="130"/>
      <c r="F2" s="130"/>
      <c r="G2" s="131"/>
      <c r="H2" s="130"/>
      <c r="I2" s="130"/>
      <c r="J2" s="130"/>
      <c r="K2" s="131"/>
      <c r="L2" s="130"/>
      <c r="M2" s="130"/>
      <c r="N2" s="130"/>
      <c r="O2" s="130"/>
      <c r="P2" s="130"/>
      <c r="Q2" s="130"/>
      <c r="R2" s="130"/>
      <c r="S2" s="130"/>
      <c r="T2" s="130"/>
      <c r="U2" s="130"/>
      <c r="V2" s="130"/>
      <c r="W2" s="130"/>
    </row>
    <row r="3" spans="3:27" ht="15.75" customHeight="1" thickBot="1">
      <c r="C3" s="133" t="s">
        <v>442</v>
      </c>
      <c r="D3" s="133" t="s">
        <v>451</v>
      </c>
      <c r="E3" s="133"/>
      <c r="F3" s="133"/>
      <c r="G3" s="216" t="s">
        <v>472</v>
      </c>
      <c r="H3" s="216" t="s">
        <v>166</v>
      </c>
      <c r="I3" s="216" t="s">
        <v>167</v>
      </c>
      <c r="J3" s="216" t="s">
        <v>461</v>
      </c>
      <c r="K3" s="216" t="s">
        <v>441</v>
      </c>
      <c r="L3" s="216" t="s">
        <v>170</v>
      </c>
      <c r="M3" s="216" t="s">
        <v>171</v>
      </c>
      <c r="N3" s="216" t="s">
        <v>460</v>
      </c>
      <c r="O3" s="216" t="s">
        <v>440</v>
      </c>
      <c r="P3" s="134" t="s">
        <v>567</v>
      </c>
      <c r="Q3" s="134" t="s">
        <v>597</v>
      </c>
      <c r="R3" s="134" t="s">
        <v>630</v>
      </c>
      <c r="S3" s="412">
        <v>43921</v>
      </c>
      <c r="T3" s="412">
        <v>44012</v>
      </c>
      <c r="U3" s="412">
        <v>44104</v>
      </c>
      <c r="V3" s="412">
        <v>44196</v>
      </c>
      <c r="W3" s="412">
        <v>44286</v>
      </c>
    </row>
    <row r="4" spans="3:27" ht="12" customHeight="1">
      <c r="C4" s="135" t="s">
        <v>553</v>
      </c>
      <c r="D4" s="135" t="s">
        <v>554</v>
      </c>
      <c r="E4" s="136" t="s">
        <v>466</v>
      </c>
      <c r="F4" s="136" t="s">
        <v>468</v>
      </c>
      <c r="G4" s="143">
        <v>3212</v>
      </c>
      <c r="H4" s="143">
        <v>3253</v>
      </c>
      <c r="I4" s="143">
        <v>3314</v>
      </c>
      <c r="J4" s="143">
        <v>3388</v>
      </c>
      <c r="K4" s="143">
        <v>3452</v>
      </c>
      <c r="L4" s="143">
        <v>3526</v>
      </c>
      <c r="M4" s="143">
        <v>3601</v>
      </c>
      <c r="N4" s="143">
        <v>4019</v>
      </c>
      <c r="O4" s="143">
        <v>4126</v>
      </c>
      <c r="P4" s="143">
        <v>4229</v>
      </c>
      <c r="Q4" s="143">
        <v>4293</v>
      </c>
      <c r="R4" s="143">
        <v>4424</v>
      </c>
      <c r="S4" s="143">
        <v>3988</v>
      </c>
      <c r="T4" s="143">
        <v>4056</v>
      </c>
      <c r="U4" s="143">
        <v>6719</v>
      </c>
      <c r="V4" s="143">
        <v>5448</v>
      </c>
      <c r="W4" s="143">
        <v>5451</v>
      </c>
      <c r="Y4" s="288"/>
      <c r="Z4" s="288"/>
      <c r="AA4" s="288"/>
    </row>
    <row r="5" spans="3:27" ht="12" customHeight="1">
      <c r="C5" s="237" t="s">
        <v>551</v>
      </c>
      <c r="D5" s="135" t="s">
        <v>552</v>
      </c>
      <c r="E5" s="136" t="s">
        <v>467</v>
      </c>
      <c r="F5" s="136" t="s">
        <v>468</v>
      </c>
      <c r="G5" s="143">
        <v>2002</v>
      </c>
      <c r="H5" s="143">
        <v>2007</v>
      </c>
      <c r="I5" s="143">
        <v>2017</v>
      </c>
      <c r="J5" s="143">
        <v>2056</v>
      </c>
      <c r="K5" s="143">
        <v>2111</v>
      </c>
      <c r="L5" s="143">
        <v>2136</v>
      </c>
      <c r="M5" s="143">
        <v>2175</v>
      </c>
      <c r="N5" s="143">
        <v>2345</v>
      </c>
      <c r="O5" s="143">
        <v>2401</v>
      </c>
      <c r="P5" s="143">
        <v>2408</v>
      </c>
      <c r="Q5" s="143">
        <v>2459</v>
      </c>
      <c r="R5" s="143">
        <v>2510</v>
      </c>
      <c r="S5" s="143">
        <v>2607</v>
      </c>
      <c r="T5" s="143">
        <v>2635</v>
      </c>
      <c r="U5" s="143">
        <v>2880</v>
      </c>
      <c r="V5" s="143">
        <v>2934</v>
      </c>
      <c r="W5" s="143">
        <v>2996</v>
      </c>
      <c r="Y5" s="288"/>
      <c r="Z5" s="288"/>
      <c r="AA5" s="288"/>
    </row>
    <row r="6" spans="3:27" ht="12" customHeight="1">
      <c r="C6" s="135" t="s">
        <v>557</v>
      </c>
      <c r="D6" s="135" t="s">
        <v>558</v>
      </c>
      <c r="E6" s="136" t="s">
        <v>467</v>
      </c>
      <c r="F6" s="136" t="s">
        <v>468</v>
      </c>
      <c r="G6" s="143">
        <v>909</v>
      </c>
      <c r="H6" s="143">
        <v>963</v>
      </c>
      <c r="I6" s="143">
        <v>1015</v>
      </c>
      <c r="J6" s="143">
        <v>1094</v>
      </c>
      <c r="K6" s="143">
        <v>1139</v>
      </c>
      <c r="L6" s="143">
        <v>1183</v>
      </c>
      <c r="M6" s="143">
        <v>1244</v>
      </c>
      <c r="N6" s="143">
        <v>1337</v>
      </c>
      <c r="O6" s="143">
        <v>1400</v>
      </c>
      <c r="P6" s="143">
        <v>1461</v>
      </c>
      <c r="Q6" s="143">
        <v>1527</v>
      </c>
      <c r="R6" s="143">
        <v>1577</v>
      </c>
      <c r="S6" s="143">
        <v>1647</v>
      </c>
      <c r="T6" s="143">
        <v>1703</v>
      </c>
      <c r="U6" s="143">
        <v>1895</v>
      </c>
      <c r="V6" s="143">
        <v>1967</v>
      </c>
      <c r="W6" s="143">
        <v>2021</v>
      </c>
      <c r="Y6" s="288"/>
      <c r="Z6" s="288"/>
      <c r="AA6" s="288"/>
    </row>
    <row r="7" spans="3:27" ht="10.5" customHeight="1">
      <c r="C7" s="205" t="s">
        <v>443</v>
      </c>
      <c r="D7" s="205" t="s">
        <v>452</v>
      </c>
      <c r="E7" s="206" t="s">
        <v>467</v>
      </c>
      <c r="F7" s="206" t="s">
        <v>468</v>
      </c>
      <c r="G7" s="213">
        <v>3470</v>
      </c>
      <c r="H7" s="213">
        <v>3471</v>
      </c>
      <c r="I7" s="213">
        <v>3538</v>
      </c>
      <c r="J7" s="213">
        <v>3624</v>
      </c>
      <c r="K7" s="213">
        <v>3630</v>
      </c>
      <c r="L7" s="213">
        <v>3694</v>
      </c>
      <c r="M7" s="213">
        <v>3761</v>
      </c>
      <c r="N7" s="213">
        <v>3981</v>
      </c>
      <c r="O7" s="213">
        <v>4082</v>
      </c>
      <c r="P7" s="282">
        <v>4054</v>
      </c>
      <c r="Q7" s="282">
        <v>4136</v>
      </c>
      <c r="R7" s="282">
        <v>4163</v>
      </c>
      <c r="S7" s="282">
        <v>4214</v>
      </c>
      <c r="T7" s="282">
        <v>4231</v>
      </c>
      <c r="U7" s="282">
        <v>4248</v>
      </c>
      <c r="V7" s="282">
        <v>4268</v>
      </c>
      <c r="W7" s="282">
        <v>4305</v>
      </c>
      <c r="Y7" s="288"/>
      <c r="Z7" s="288"/>
      <c r="AA7" s="288"/>
    </row>
    <row r="8" spans="3:27" ht="10.5" customHeight="1">
      <c r="C8" s="137" t="s">
        <v>444</v>
      </c>
      <c r="D8" s="137" t="s">
        <v>453</v>
      </c>
      <c r="E8" s="138" t="s">
        <v>466</v>
      </c>
      <c r="F8" s="138" t="s">
        <v>468</v>
      </c>
      <c r="G8" s="146">
        <v>1225</v>
      </c>
      <c r="H8" s="146">
        <v>1233</v>
      </c>
      <c r="I8" s="146">
        <v>1257</v>
      </c>
      <c r="J8" s="146">
        <v>1271</v>
      </c>
      <c r="K8" s="146">
        <v>1272</v>
      </c>
      <c r="L8" s="146">
        <v>1273</v>
      </c>
      <c r="M8" s="146">
        <v>1279</v>
      </c>
      <c r="N8" s="146">
        <v>1325</v>
      </c>
      <c r="O8" s="146">
        <v>1331</v>
      </c>
      <c r="P8" s="214">
        <v>1302</v>
      </c>
      <c r="Q8" s="214">
        <v>1289</v>
      </c>
      <c r="R8" s="214">
        <v>1270</v>
      </c>
      <c r="S8" s="214">
        <v>1243</v>
      </c>
      <c r="T8" s="214">
        <v>1237</v>
      </c>
      <c r="U8" s="214">
        <v>1230</v>
      </c>
      <c r="V8" s="214">
        <v>1189</v>
      </c>
      <c r="W8" s="214">
        <v>1160</v>
      </c>
      <c r="Y8" s="288"/>
      <c r="Z8" s="288"/>
      <c r="AA8" s="288"/>
    </row>
    <row r="9" spans="3:27" ht="12" customHeight="1">
      <c r="C9" s="135" t="s">
        <v>445</v>
      </c>
      <c r="D9" s="135" t="s">
        <v>454</v>
      </c>
      <c r="E9" s="136" t="s">
        <v>466</v>
      </c>
      <c r="F9" s="136" t="s">
        <v>468</v>
      </c>
      <c r="G9" s="143">
        <v>6387</v>
      </c>
      <c r="H9" s="143">
        <v>6402</v>
      </c>
      <c r="I9" s="143">
        <v>6353</v>
      </c>
      <c r="J9" s="143">
        <v>6454</v>
      </c>
      <c r="K9" s="143">
        <v>6487</v>
      </c>
      <c r="L9" s="143">
        <v>6532</v>
      </c>
      <c r="M9" s="143">
        <v>6539</v>
      </c>
      <c r="N9" s="143">
        <v>6956</v>
      </c>
      <c r="O9" s="143">
        <v>6995</v>
      </c>
      <c r="P9" s="143">
        <v>7049</v>
      </c>
      <c r="Q9" s="143">
        <v>7151</v>
      </c>
      <c r="R9" s="143">
        <v>7247</v>
      </c>
      <c r="S9" s="143">
        <v>7215</v>
      </c>
      <c r="T9" s="143">
        <v>7164</v>
      </c>
      <c r="U9" s="143">
        <v>7185</v>
      </c>
      <c r="V9" s="143">
        <v>7083</v>
      </c>
      <c r="W9" s="143">
        <v>7017</v>
      </c>
      <c r="Y9" s="288"/>
      <c r="Z9" s="288"/>
      <c r="AA9" s="288"/>
    </row>
    <row r="10" spans="3:27" ht="12" customHeight="1">
      <c r="C10" s="207" t="s">
        <v>469</v>
      </c>
      <c r="D10" s="207" t="s">
        <v>470</v>
      </c>
      <c r="E10" s="208" t="s">
        <v>466</v>
      </c>
      <c r="F10" s="208" t="s">
        <v>468</v>
      </c>
      <c r="G10" s="214">
        <v>3935</v>
      </c>
      <c r="H10" s="214">
        <v>3977</v>
      </c>
      <c r="I10" s="214">
        <v>3916</v>
      </c>
      <c r="J10" s="214">
        <v>3954</v>
      </c>
      <c r="K10" s="214">
        <v>3993</v>
      </c>
      <c r="L10" s="214">
        <v>4050</v>
      </c>
      <c r="M10" s="214">
        <v>4103</v>
      </c>
      <c r="N10" s="214">
        <v>4459</v>
      </c>
      <c r="O10" s="214">
        <v>4490</v>
      </c>
      <c r="P10" s="214">
        <v>4535</v>
      </c>
      <c r="Q10" s="214">
        <v>4598</v>
      </c>
      <c r="R10" s="214">
        <v>4643</v>
      </c>
      <c r="S10" s="214">
        <v>4720</v>
      </c>
      <c r="T10" s="214">
        <v>4765</v>
      </c>
      <c r="U10" s="214">
        <v>4844</v>
      </c>
      <c r="V10" s="214">
        <v>4850</v>
      </c>
      <c r="W10" s="214">
        <v>4885</v>
      </c>
      <c r="Y10" s="288"/>
      <c r="Z10" s="288"/>
      <c r="AA10" s="288"/>
    </row>
    <row r="11" spans="3:27" ht="12" customHeight="1">
      <c r="C11" s="135" t="s">
        <v>446</v>
      </c>
      <c r="D11" s="135" t="s">
        <v>455</v>
      </c>
      <c r="E11" s="136" t="s">
        <v>447</v>
      </c>
      <c r="F11" s="136" t="s">
        <v>456</v>
      </c>
      <c r="G11" s="143">
        <v>792</v>
      </c>
      <c r="H11" s="143">
        <v>759</v>
      </c>
      <c r="I11" s="143">
        <v>752</v>
      </c>
      <c r="J11" s="143">
        <v>735</v>
      </c>
      <c r="K11" s="143">
        <v>720</v>
      </c>
      <c r="L11" s="143">
        <v>693</v>
      </c>
      <c r="M11" s="143">
        <v>673</v>
      </c>
      <c r="N11" s="143">
        <v>764</v>
      </c>
      <c r="O11" s="143">
        <v>723</v>
      </c>
      <c r="P11" s="143">
        <v>682</v>
      </c>
      <c r="Q11" s="143">
        <v>675</v>
      </c>
      <c r="R11" s="143">
        <v>655</v>
      </c>
      <c r="S11" s="143">
        <v>629</v>
      </c>
      <c r="T11" s="143">
        <v>584</v>
      </c>
      <c r="U11" s="143">
        <v>566</v>
      </c>
      <c r="V11" s="143">
        <v>550</v>
      </c>
      <c r="W11" s="143">
        <v>495</v>
      </c>
      <c r="Y11" s="288"/>
      <c r="Z11" s="288"/>
      <c r="AA11" s="288"/>
    </row>
    <row r="12" spans="3:27" ht="12" customHeight="1">
      <c r="C12" s="135" t="s">
        <v>448</v>
      </c>
      <c r="D12" s="135" t="s">
        <v>457</v>
      </c>
      <c r="E12" s="136" t="s">
        <v>447</v>
      </c>
      <c r="F12" s="136" t="s">
        <v>456</v>
      </c>
      <c r="G12" s="143">
        <v>260</v>
      </c>
      <c r="H12" s="143">
        <v>265</v>
      </c>
      <c r="I12" s="143">
        <v>262</v>
      </c>
      <c r="J12" s="143">
        <v>262</v>
      </c>
      <c r="K12" s="143">
        <v>276</v>
      </c>
      <c r="L12" s="143">
        <v>281</v>
      </c>
      <c r="M12" s="143">
        <v>289</v>
      </c>
      <c r="N12" s="143">
        <v>293</v>
      </c>
      <c r="O12" s="143">
        <v>297</v>
      </c>
      <c r="P12" s="143">
        <v>306</v>
      </c>
      <c r="Q12" s="143">
        <v>310</v>
      </c>
      <c r="R12" s="143">
        <v>317</v>
      </c>
      <c r="S12" s="143">
        <v>327</v>
      </c>
      <c r="T12" s="143">
        <v>369</v>
      </c>
      <c r="U12" s="143">
        <v>376</v>
      </c>
      <c r="V12" s="143">
        <v>380</v>
      </c>
      <c r="W12" s="143">
        <v>413</v>
      </c>
      <c r="Y12" s="288"/>
      <c r="Z12" s="288"/>
      <c r="AA12" s="288"/>
    </row>
    <row r="13" spans="3:27" ht="12" customHeight="1">
      <c r="C13" s="135" t="s">
        <v>645</v>
      </c>
      <c r="D13" s="135" t="s">
        <v>646</v>
      </c>
      <c r="E13" s="136" t="s">
        <v>447</v>
      </c>
      <c r="F13" s="136" t="s">
        <v>456</v>
      </c>
      <c r="G13" s="451"/>
      <c r="H13" s="451"/>
      <c r="I13" s="451"/>
      <c r="J13" s="451"/>
      <c r="K13" s="451"/>
      <c r="L13" s="451"/>
      <c r="M13" s="451"/>
      <c r="N13" s="451"/>
      <c r="O13" s="451"/>
      <c r="P13" s="451"/>
      <c r="Q13" s="451"/>
      <c r="R13" s="143">
        <v>10</v>
      </c>
      <c r="S13" s="143">
        <v>11</v>
      </c>
      <c r="T13" s="143">
        <v>11</v>
      </c>
      <c r="U13" s="143">
        <v>12</v>
      </c>
      <c r="V13" s="143">
        <v>12</v>
      </c>
      <c r="W13" s="143">
        <v>12</v>
      </c>
      <c r="Y13" s="288"/>
      <c r="Z13" s="288"/>
      <c r="AA13" s="288"/>
    </row>
    <row r="14" spans="3:27" ht="12" customHeight="1">
      <c r="C14" s="207" t="s">
        <v>462</v>
      </c>
      <c r="D14" s="207" t="s">
        <v>471</v>
      </c>
      <c r="E14" s="208" t="s">
        <v>463</v>
      </c>
      <c r="F14" s="208" t="s">
        <v>464</v>
      </c>
      <c r="G14" s="214">
        <v>1753</v>
      </c>
      <c r="H14" s="214">
        <v>1741</v>
      </c>
      <c r="I14" s="214">
        <v>1726</v>
      </c>
      <c r="J14" s="214">
        <v>1732</v>
      </c>
      <c r="K14" s="214">
        <v>1744</v>
      </c>
      <c r="L14" s="214">
        <v>1739</v>
      </c>
      <c r="M14" s="214">
        <v>1725</v>
      </c>
      <c r="N14" s="214">
        <v>1762</v>
      </c>
      <c r="O14" s="214">
        <v>1746</v>
      </c>
      <c r="P14" s="214">
        <v>1726</v>
      </c>
      <c r="Q14" s="214">
        <v>1716</v>
      </c>
      <c r="R14" s="214">
        <v>1700</v>
      </c>
      <c r="S14" s="214">
        <v>1697</v>
      </c>
      <c r="T14" s="214">
        <v>1682</v>
      </c>
      <c r="U14" s="214">
        <v>1674</v>
      </c>
      <c r="V14" s="214">
        <v>1661</v>
      </c>
      <c r="W14" s="214">
        <v>1638</v>
      </c>
      <c r="Y14" s="288"/>
      <c r="Z14" s="288"/>
      <c r="AA14" s="288"/>
    </row>
    <row r="15" spans="3:27" ht="12" customHeight="1">
      <c r="C15" s="209" t="s">
        <v>694</v>
      </c>
      <c r="D15" s="210" t="s">
        <v>458</v>
      </c>
      <c r="E15" s="211" t="s">
        <v>449</v>
      </c>
      <c r="F15" s="212" t="s">
        <v>459</v>
      </c>
      <c r="G15" s="215">
        <v>14699</v>
      </c>
      <c r="H15" s="215">
        <v>14558</v>
      </c>
      <c r="I15" s="215">
        <v>14473</v>
      </c>
      <c r="J15" s="215">
        <v>14383</v>
      </c>
      <c r="K15" s="215">
        <v>14330</v>
      </c>
      <c r="L15" s="215">
        <v>14286</v>
      </c>
      <c r="M15" s="215">
        <v>14030</v>
      </c>
      <c r="N15" s="215">
        <v>15347</v>
      </c>
      <c r="O15" s="215">
        <v>14642</v>
      </c>
      <c r="P15" s="214">
        <v>14058</v>
      </c>
      <c r="Q15" s="214">
        <v>13630</v>
      </c>
      <c r="R15" s="214">
        <v>13579</v>
      </c>
      <c r="S15" s="214">
        <v>13318</v>
      </c>
      <c r="T15" s="214">
        <v>13135</v>
      </c>
      <c r="U15" s="214">
        <v>12788</v>
      </c>
      <c r="V15" s="214">
        <v>12616</v>
      </c>
      <c r="W15" s="214">
        <v>12063</v>
      </c>
      <c r="Y15" s="288"/>
      <c r="Z15" s="288"/>
      <c r="AA15" s="288"/>
    </row>
    <row r="16" spans="3:27" ht="15.6" customHeight="1" thickBot="1">
      <c r="C16" s="133" t="s">
        <v>528</v>
      </c>
      <c r="D16" s="133" t="s">
        <v>529</v>
      </c>
      <c r="E16" s="133"/>
      <c r="F16" s="133"/>
      <c r="G16" s="216" t="s">
        <v>472</v>
      </c>
      <c r="H16" s="216" t="s">
        <v>166</v>
      </c>
      <c r="I16" s="216" t="s">
        <v>167</v>
      </c>
      <c r="J16" s="216" t="s">
        <v>461</v>
      </c>
      <c r="K16" s="216" t="s">
        <v>441</v>
      </c>
      <c r="L16" s="216" t="s">
        <v>170</v>
      </c>
      <c r="M16" s="216" t="s">
        <v>171</v>
      </c>
      <c r="N16" s="216" t="s">
        <v>460</v>
      </c>
      <c r="O16" s="216" t="s">
        <v>440</v>
      </c>
      <c r="P16" s="216" t="s">
        <v>567</v>
      </c>
      <c r="Q16" s="216" t="s">
        <v>597</v>
      </c>
      <c r="R16" s="216" t="s">
        <v>597</v>
      </c>
      <c r="S16" s="413">
        <f>S3</f>
        <v>43921</v>
      </c>
      <c r="T16" s="413">
        <v>44012</v>
      </c>
      <c r="U16" s="413">
        <v>44012</v>
      </c>
      <c r="V16" s="413">
        <v>44196</v>
      </c>
      <c r="W16" s="413">
        <v>44286</v>
      </c>
      <c r="Y16" s="288"/>
      <c r="Z16" s="288"/>
      <c r="AA16" s="288"/>
    </row>
    <row r="17" spans="1:27" ht="14.45" customHeight="1">
      <c r="C17" s="142" t="s">
        <v>695</v>
      </c>
      <c r="D17" s="142" t="s">
        <v>647</v>
      </c>
      <c r="E17" s="138" t="s">
        <v>530</v>
      </c>
      <c r="F17" s="138" t="s">
        <v>531</v>
      </c>
      <c r="G17" s="146">
        <v>14019968</v>
      </c>
      <c r="H17" s="146">
        <v>14869743</v>
      </c>
      <c r="I17" s="146">
        <v>15566830</v>
      </c>
      <c r="J17" s="146">
        <v>15996843</v>
      </c>
      <c r="K17" s="146">
        <v>16431222</v>
      </c>
      <c r="L17" s="146">
        <v>16329736</v>
      </c>
      <c r="M17" s="146">
        <v>16199060</v>
      </c>
      <c r="N17" s="146">
        <v>15057490</v>
      </c>
      <c r="O17" s="146">
        <v>15380567</v>
      </c>
      <c r="P17" s="146">
        <v>15840643</v>
      </c>
      <c r="Q17" s="146">
        <v>16319225</v>
      </c>
      <c r="R17" s="146">
        <v>16919956</v>
      </c>
      <c r="S17" s="146">
        <v>12020262</v>
      </c>
      <c r="T17" s="146">
        <v>13064578</v>
      </c>
      <c r="U17" s="146">
        <v>14535650</v>
      </c>
      <c r="V17" s="146">
        <v>16168685</v>
      </c>
      <c r="W17" s="146">
        <v>17933020</v>
      </c>
      <c r="X17" s="287"/>
      <c r="Y17" s="287"/>
      <c r="Z17" s="288"/>
      <c r="AA17" s="288"/>
    </row>
    <row r="18" spans="1:27" ht="12" customHeight="1">
      <c r="C18" s="141"/>
      <c r="D18" s="141"/>
      <c r="E18" s="141"/>
      <c r="F18" s="141"/>
      <c r="G18" s="218"/>
      <c r="H18" s="218"/>
      <c r="I18" s="218"/>
      <c r="J18" s="218"/>
      <c r="K18" s="218"/>
      <c r="L18" s="218"/>
      <c r="M18" s="218"/>
      <c r="N18" s="218"/>
      <c r="O18" s="218"/>
      <c r="P18" s="218"/>
      <c r="Q18" s="218"/>
      <c r="R18" s="218"/>
      <c r="S18" s="218"/>
      <c r="T18" s="218"/>
      <c r="U18" s="218"/>
    </row>
    <row r="19" spans="1:27" ht="54" customHeight="1">
      <c r="A19" s="238"/>
      <c r="B19" s="485" t="s">
        <v>550</v>
      </c>
      <c r="C19" s="486" t="s">
        <v>696</v>
      </c>
      <c r="D19" s="486" t="s">
        <v>699</v>
      </c>
      <c r="G19" s="217"/>
      <c r="H19" s="217"/>
      <c r="I19" s="217"/>
      <c r="J19" s="217"/>
      <c r="K19" s="217"/>
      <c r="L19" s="217"/>
      <c r="M19" s="217"/>
      <c r="N19" s="217"/>
      <c r="O19" s="217"/>
    </row>
    <row r="20" spans="1:27" ht="60" customHeight="1">
      <c r="A20" s="238"/>
      <c r="B20" s="485" t="s">
        <v>549</v>
      </c>
      <c r="C20" s="486" t="s">
        <v>700</v>
      </c>
      <c r="D20" s="486" t="s">
        <v>658</v>
      </c>
      <c r="G20" s="217"/>
      <c r="H20" s="217"/>
      <c r="I20" s="217"/>
      <c r="J20" s="217"/>
      <c r="K20" s="217"/>
      <c r="L20" s="217"/>
      <c r="M20" s="217"/>
      <c r="N20" s="217"/>
      <c r="O20" s="217"/>
    </row>
    <row r="21" spans="1:27" ht="21.6" customHeight="1">
      <c r="B21" s="485" t="s">
        <v>427</v>
      </c>
      <c r="C21" s="486" t="s">
        <v>697</v>
      </c>
      <c r="D21" s="486" t="s">
        <v>701</v>
      </c>
      <c r="G21" s="217"/>
      <c r="H21" s="217"/>
      <c r="I21" s="217"/>
      <c r="J21" s="217"/>
      <c r="K21" s="217"/>
      <c r="L21" s="217"/>
      <c r="M21" s="217"/>
      <c r="N21" s="217"/>
      <c r="O21" s="217"/>
    </row>
    <row r="22" spans="1:27" ht="21" customHeight="1">
      <c r="B22" s="485" t="s">
        <v>428</v>
      </c>
      <c r="C22" s="486" t="s">
        <v>702</v>
      </c>
      <c r="D22" s="486" t="s">
        <v>703</v>
      </c>
      <c r="H22" s="144"/>
      <c r="K22" s="144"/>
      <c r="L22" s="144"/>
      <c r="N22" s="144"/>
      <c r="O22" s="144"/>
      <c r="P22" s="144"/>
      <c r="Q22" s="144"/>
      <c r="R22" s="144"/>
      <c r="S22" s="144"/>
      <c r="T22" s="144"/>
      <c r="U22" s="144"/>
    </row>
    <row r="23" spans="1:27" ht="12" customHeight="1">
      <c r="B23" s="485" t="s">
        <v>429</v>
      </c>
      <c r="C23" s="486" t="s">
        <v>555</v>
      </c>
      <c r="D23" s="486" t="s">
        <v>556</v>
      </c>
      <c r="E23" s="136"/>
      <c r="F23" s="136"/>
      <c r="G23" s="143"/>
      <c r="H23" s="143"/>
      <c r="I23" s="143"/>
      <c r="J23" s="143"/>
      <c r="K23" s="143"/>
      <c r="L23" s="143"/>
      <c r="M23" s="143"/>
      <c r="N23" s="143"/>
      <c r="O23" s="143"/>
      <c r="P23" s="143"/>
      <c r="Q23" s="143"/>
      <c r="R23" s="143"/>
      <c r="S23" s="143"/>
      <c r="T23" s="143"/>
      <c r="U23" s="143"/>
    </row>
  </sheetData>
  <customSheetViews>
    <customSheetView guid="{2A0EA35A-7F53-4AD8-895C-C234D094A4A4}" showGridLines="0" fitToPage="1" topLeftCell="Q1">
      <selection activeCell="G25" sqref="G25"/>
      <pageMargins left="0.7" right="0.7" top="0.75" bottom="0.75" header="0.3" footer="0.3"/>
      <pageSetup paperSize="9" scale="37" fitToHeight="0" orientation="landscape" r:id="rId1"/>
    </customSheetView>
    <customSheetView guid="{8DA78CF1-615A-4626-9893-6751995631A4}" showGridLines="0" fitToPage="1" topLeftCell="P1">
      <selection activeCell="G25" sqref="G25"/>
      <pageMargins left="0.7" right="0.7" top="0.75" bottom="0.75" header="0.3" footer="0.3"/>
      <pageSetup paperSize="9" scale="37" fitToHeight="0" orientation="landscape" r:id="rId2"/>
    </customSheetView>
    <customSheetView guid="{899D69CD-4B7E-42BC-9944-5BD922EB798C}" fitToPage="1">
      <selection activeCell="P14" sqref="P14"/>
      <pageMargins left="0.7" right="0.7" top="0.75" bottom="0.75" header="0.3" footer="0.3"/>
      <pageSetup paperSize="9" scale="37" fitToHeight="0" orientation="landscape" r:id="rId3"/>
    </customSheetView>
    <customSheetView guid="{25FAB884-5E17-4008-8139-33D910C7DEFE}" fitToPage="1">
      <selection activeCell="P14" sqref="P14"/>
      <pageMargins left="0.7" right="0.7" top="0.75" bottom="0.75" header="0.3" footer="0.3"/>
      <pageSetup paperSize="9" scale="37" fitToHeight="0" orientation="landscape" r:id="rId4"/>
    </customSheetView>
    <customSheetView guid="{57267270-6A97-4850-9DB6-FE6B399379AA}" showGridLines="0" fitToPage="1" topLeftCell="B1">
      <selection activeCell="C32" sqref="C32"/>
      <pageMargins left="0.7" right="0.7" top="0.75" bottom="0.75" header="0.3" footer="0.3"/>
      <pageSetup paperSize="9" scale="37" fitToHeight="0" orientation="landscape" r:id="rId5"/>
    </customSheetView>
    <customSheetView guid="{687A4863-1825-4D63-B732-E76682E6DE4F}" showGridLines="0" fitToPage="1" topLeftCell="C1">
      <selection activeCell="H28" sqref="H28"/>
      <pageMargins left="0.7" right="0.7" top="0.75" bottom="0.75" header="0.3" footer="0.3"/>
      <pageSetup paperSize="9" scale="37" fitToHeight="0" orientation="landscape" r:id="rId6"/>
    </customSheetView>
    <customSheetView guid="{9AF4A83C-CF57-4B40-8A74-6A0EA6C2FE5C}" showGridLines="0" fitToPage="1" topLeftCell="H1">
      <selection activeCell="X9" sqref="X9"/>
      <pageMargins left="0.7" right="0.7" top="0.75" bottom="0.75" header="0.3" footer="0.3"/>
      <pageSetup paperSize="9" scale="37" fitToHeight="0" orientation="landscape" r:id="rId7"/>
    </customSheetView>
    <customSheetView guid="{12F8D032-8143-430B-8DFF-852E8796C402}" showGridLines="0" fitToPage="1" topLeftCell="Q1">
      <selection activeCell="X15" sqref="X15:Z18"/>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3"/>
  <sheetViews>
    <sheetView zoomScaleNormal="100" zoomScaleSheetLayoutView="90" workbookViewId="0">
      <pane xSplit="2" ySplit="1" topLeftCell="C2" activePane="bottomRight" state="frozen"/>
      <selection pane="topRight" activeCell="C1" sqref="C1"/>
      <selection pane="bottomLeft" activeCell="A2" sqref="A2"/>
      <selection pane="bottomRight" activeCell="F13" sqref="F13"/>
    </sheetView>
  </sheetViews>
  <sheetFormatPr defaultColWidth="9.85546875" defaultRowHeight="14.25"/>
  <cols>
    <col min="1" max="1" width="5.140625" style="6" customWidth="1"/>
    <col min="2" max="2" width="55.42578125" style="6" customWidth="1"/>
    <col min="3" max="3" width="52.42578125" style="6" customWidth="1"/>
    <col min="4" max="21" width="13.42578125" style="6" customWidth="1"/>
    <col min="22" max="16384" width="9.85546875" style="6"/>
  </cols>
  <sheetData>
    <row r="1" spans="2:21" s="21" customFormat="1" ht="32.25" customHeight="1" thickBot="1">
      <c r="B1" s="4" t="s">
        <v>331</v>
      </c>
      <c r="C1" s="4" t="s">
        <v>310</v>
      </c>
      <c r="D1" s="252" t="s">
        <v>165</v>
      </c>
      <c r="E1" s="252" t="s">
        <v>166</v>
      </c>
      <c r="F1" s="252" t="s">
        <v>167</v>
      </c>
      <c r="G1" s="252" t="s">
        <v>168</v>
      </c>
      <c r="H1" s="319">
        <v>43101</v>
      </c>
      <c r="I1" s="252" t="s">
        <v>169</v>
      </c>
      <c r="J1" s="252" t="s">
        <v>170</v>
      </c>
      <c r="K1" s="252" t="s">
        <v>171</v>
      </c>
      <c r="L1" s="253">
        <v>43465</v>
      </c>
      <c r="M1" s="275">
        <v>43555</v>
      </c>
      <c r="N1" s="253">
        <v>43646</v>
      </c>
      <c r="O1" s="253">
        <v>43738</v>
      </c>
      <c r="P1" s="253">
        <v>43830</v>
      </c>
      <c r="Q1" s="319">
        <v>43921</v>
      </c>
      <c r="R1" s="319">
        <v>44012</v>
      </c>
      <c r="S1" s="319">
        <v>44104</v>
      </c>
      <c r="T1" s="319">
        <v>44196</v>
      </c>
      <c r="U1" s="319">
        <v>44286</v>
      </c>
    </row>
    <row r="2" spans="2:21" ht="15" customHeight="1">
      <c r="B2" s="22" t="s">
        <v>61</v>
      </c>
      <c r="C2" s="22" t="s">
        <v>16</v>
      </c>
    </row>
    <row r="3" spans="2:21"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c r="U3" s="9">
        <v>10914631</v>
      </c>
    </row>
    <row r="4" spans="2:21"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c r="U4" s="9">
        <v>3570869</v>
      </c>
    </row>
    <row r="5" spans="2:21" ht="26.1"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c r="U5" s="9">
        <v>3128426</v>
      </c>
    </row>
    <row r="6" spans="2:21" ht="15" customHeight="1">
      <c r="B6" s="8" t="s">
        <v>129</v>
      </c>
      <c r="C6" s="8" t="s">
        <v>329</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f>T7+T8+T9</f>
        <v>141998745</v>
      </c>
      <c r="U6" s="9">
        <f>U7+U8+U9</f>
        <v>143001534</v>
      </c>
    </row>
    <row r="7" spans="2:21"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139549728</v>
      </c>
      <c r="U7" s="9">
        <v>139451632</v>
      </c>
    </row>
    <row r="8" spans="2:21"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c r="U8" s="9">
        <v>2703415</v>
      </c>
    </row>
    <row r="9" spans="2:21"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c r="U9" s="9">
        <v>846487</v>
      </c>
    </row>
    <row r="10" spans="2:21"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c r="S10" s="9">
        <v>125828</v>
      </c>
      <c r="T10" s="9">
        <v>293583</v>
      </c>
      <c r="U10" s="9">
        <v>191774</v>
      </c>
    </row>
    <row r="11" spans="2:21" ht="15" customHeight="1">
      <c r="B11" s="8" t="s">
        <v>107</v>
      </c>
      <c r="C11" s="8" t="s">
        <v>260</v>
      </c>
      <c r="D11" s="9">
        <v>25090751</v>
      </c>
      <c r="E11" s="9">
        <v>25072507</v>
      </c>
      <c r="F11" s="9">
        <v>25926495</v>
      </c>
      <c r="G11" s="9">
        <v>26905088</v>
      </c>
      <c r="H11" s="9"/>
      <c r="I11" s="9">
        <v>0</v>
      </c>
      <c r="J11" s="9">
        <v>0</v>
      </c>
      <c r="K11" s="9">
        <v>0</v>
      </c>
      <c r="L11" s="9">
        <v>0</v>
      </c>
      <c r="M11" s="9">
        <v>0</v>
      </c>
      <c r="N11" s="9">
        <v>0</v>
      </c>
      <c r="O11" s="9">
        <v>0</v>
      </c>
      <c r="P11" s="9">
        <v>0</v>
      </c>
      <c r="Q11" s="9">
        <v>0</v>
      </c>
      <c r="R11" s="9">
        <v>0</v>
      </c>
      <c r="S11" s="9">
        <v>0</v>
      </c>
      <c r="T11" s="9">
        <v>0</v>
      </c>
      <c r="U11" s="9">
        <v>0</v>
      </c>
    </row>
    <row r="12" spans="2:21"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c r="S12" s="9">
        <v>61209949</v>
      </c>
      <c r="T12" s="9">
        <f>T13+T14+T15+T16</f>
        <v>66783434</v>
      </c>
      <c r="U12" s="9">
        <f>U13+U14+U15+U16</f>
        <v>68758852</v>
      </c>
    </row>
    <row r="13" spans="2:21" ht="29.45" customHeight="1">
      <c r="B13" s="8" t="s">
        <v>163</v>
      </c>
      <c r="C13" s="8" t="s">
        <v>261</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c r="S13" s="9">
        <v>60192017</v>
      </c>
      <c r="T13" s="9">
        <v>65700052</v>
      </c>
      <c r="U13" s="9">
        <v>67191633</v>
      </c>
    </row>
    <row r="14" spans="2:21" ht="27" customHeight="1">
      <c r="B14" s="8" t="s">
        <v>145</v>
      </c>
      <c r="C14" s="8" t="s">
        <v>262</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c r="S14" s="9">
        <v>103695</v>
      </c>
      <c r="T14" s="9">
        <v>110155</v>
      </c>
      <c r="U14" s="9">
        <v>112080</v>
      </c>
    </row>
    <row r="15" spans="2:21" ht="27" customHeight="1">
      <c r="B15" s="8" t="s">
        <v>164</v>
      </c>
      <c r="C15" s="8" t="s">
        <v>263</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c r="S15" s="9">
        <v>808264</v>
      </c>
      <c r="T15" s="9">
        <v>857331</v>
      </c>
      <c r="U15" s="9">
        <v>1336707</v>
      </c>
    </row>
    <row r="16" spans="2:21" ht="27" customHeight="1">
      <c r="B16" s="420" t="s">
        <v>649</v>
      </c>
      <c r="C16" s="418" t="s">
        <v>648</v>
      </c>
      <c r="D16" s="9"/>
      <c r="E16" s="9"/>
      <c r="F16" s="9"/>
      <c r="G16" s="9"/>
      <c r="H16" s="9"/>
      <c r="I16" s="9"/>
      <c r="J16" s="9"/>
      <c r="K16" s="9"/>
      <c r="L16" s="9"/>
      <c r="M16" s="9"/>
      <c r="N16" s="9"/>
      <c r="O16" s="9"/>
      <c r="P16" s="9"/>
      <c r="Q16" s="9"/>
      <c r="R16" s="9"/>
      <c r="S16" s="9">
        <v>105973</v>
      </c>
      <c r="T16" s="9">
        <v>115896</v>
      </c>
      <c r="U16" s="9">
        <v>118432</v>
      </c>
    </row>
    <row r="17" spans="2:21" ht="16.7" customHeight="1">
      <c r="B17" s="8" t="s">
        <v>601</v>
      </c>
      <c r="C17" s="8" t="s">
        <v>602</v>
      </c>
      <c r="D17" s="9">
        <f>D70--D73</f>
        <v>0</v>
      </c>
      <c r="E17" s="9">
        <f>E70--E73</f>
        <v>0</v>
      </c>
      <c r="F17" s="9">
        <f>F70--F73</f>
        <v>0</v>
      </c>
      <c r="G17" s="9">
        <f>G70--G73</f>
        <v>0</v>
      </c>
      <c r="H17" s="9">
        <v>2385727</v>
      </c>
      <c r="I17" s="9">
        <v>2607112</v>
      </c>
      <c r="J17" s="9">
        <v>1638155</v>
      </c>
      <c r="K17" s="9">
        <v>2746983</v>
      </c>
      <c r="L17" s="9">
        <v>1708744</v>
      </c>
      <c r="M17" s="9">
        <v>1601898</v>
      </c>
      <c r="N17" s="9">
        <v>1216615</v>
      </c>
      <c r="O17" s="9">
        <v>1167517</v>
      </c>
      <c r="P17" s="9">
        <v>1089558</v>
      </c>
      <c r="Q17" s="9">
        <v>1152234</v>
      </c>
      <c r="R17" s="9">
        <v>1129955</v>
      </c>
      <c r="S17" s="9">
        <v>828689</v>
      </c>
      <c r="T17" s="9">
        <v>657664</v>
      </c>
      <c r="U17" s="9">
        <v>643558</v>
      </c>
    </row>
    <row r="18" spans="2:21" ht="15" customHeight="1">
      <c r="B18" s="8" t="s">
        <v>143</v>
      </c>
      <c r="C18" s="8" t="s">
        <v>144</v>
      </c>
      <c r="D18" s="9">
        <v>880163</v>
      </c>
      <c r="E18" s="9">
        <v>853327</v>
      </c>
      <c r="F18" s="9">
        <v>868482</v>
      </c>
      <c r="G18" s="9">
        <v>889372</v>
      </c>
      <c r="H18" s="9">
        <v>889372</v>
      </c>
      <c r="I18" s="9">
        <v>901864</v>
      </c>
      <c r="J18" s="9">
        <v>855457</v>
      </c>
      <c r="K18" s="9">
        <v>871776</v>
      </c>
      <c r="L18" s="9">
        <v>891952</v>
      </c>
      <c r="M18" s="9">
        <v>906884</v>
      </c>
      <c r="N18" s="9">
        <v>865227</v>
      </c>
      <c r="O18" s="9">
        <v>885208</v>
      </c>
      <c r="P18" s="9">
        <v>903113</v>
      </c>
      <c r="Q18" s="9">
        <v>920752</v>
      </c>
      <c r="R18" s="9">
        <v>947922</v>
      </c>
      <c r="S18" s="9">
        <v>978234</v>
      </c>
      <c r="T18" s="9">
        <v>998397</v>
      </c>
      <c r="U18" s="9">
        <v>1015499</v>
      </c>
    </row>
    <row r="19" spans="2:21" ht="15" customHeight="1">
      <c r="B19" s="8" t="s">
        <v>64</v>
      </c>
      <c r="C19" s="8" t="s">
        <v>20</v>
      </c>
      <c r="D19" s="9">
        <v>452759</v>
      </c>
      <c r="E19" s="9">
        <v>436761</v>
      </c>
      <c r="F19" s="9">
        <v>430607</v>
      </c>
      <c r="G19" s="9">
        <v>490327</v>
      </c>
      <c r="H19" s="9">
        <v>490327</v>
      </c>
      <c r="I19" s="9">
        <v>486567</v>
      </c>
      <c r="J19" s="9">
        <v>495572</v>
      </c>
      <c r="K19" s="9">
        <v>526149</v>
      </c>
      <c r="L19" s="9">
        <v>819409</v>
      </c>
      <c r="M19" s="9">
        <v>773264</v>
      </c>
      <c r="N19" s="9">
        <v>742302</v>
      </c>
      <c r="O19" s="9">
        <v>734570</v>
      </c>
      <c r="P19" s="9">
        <v>772117</v>
      </c>
      <c r="Q19" s="9">
        <v>728938</v>
      </c>
      <c r="R19" s="9">
        <v>696945</v>
      </c>
      <c r="S19" s="9">
        <v>688811</v>
      </c>
      <c r="T19" s="9">
        <v>708356</v>
      </c>
      <c r="U19" s="9">
        <v>669130</v>
      </c>
    </row>
    <row r="20" spans="2:21" ht="15" customHeight="1">
      <c r="B20" s="8" t="s">
        <v>65</v>
      </c>
      <c r="C20" s="8" t="s">
        <v>46</v>
      </c>
      <c r="D20" s="9">
        <v>1688516</v>
      </c>
      <c r="E20" s="9">
        <v>1688516</v>
      </c>
      <c r="F20" s="9">
        <v>1712056</v>
      </c>
      <c r="G20" s="9">
        <v>1712056</v>
      </c>
      <c r="H20" s="9">
        <v>1712056</v>
      </c>
      <c r="I20" s="9">
        <v>1712056</v>
      </c>
      <c r="J20" s="9">
        <v>1712056</v>
      </c>
      <c r="K20" s="9">
        <v>1712056</v>
      </c>
      <c r="L20" s="9">
        <v>1712056</v>
      </c>
      <c r="M20" s="9">
        <v>1712056</v>
      </c>
      <c r="N20" s="9">
        <v>1712056</v>
      </c>
      <c r="O20" s="9">
        <v>1712056</v>
      </c>
      <c r="P20" s="9">
        <v>1712056</v>
      </c>
      <c r="Q20" s="9">
        <v>1712056</v>
      </c>
      <c r="R20" s="9">
        <v>1712056</v>
      </c>
      <c r="S20" s="9">
        <v>1712056</v>
      </c>
      <c r="T20" s="9">
        <v>1712056</v>
      </c>
      <c r="U20" s="9">
        <v>1712056</v>
      </c>
    </row>
    <row r="21" spans="2:21" ht="15" customHeight="1">
      <c r="B21" s="8" t="s">
        <v>66</v>
      </c>
      <c r="C21" s="8" t="s">
        <v>21</v>
      </c>
      <c r="D21" s="9">
        <v>858934</v>
      </c>
      <c r="E21" s="9">
        <v>858046</v>
      </c>
      <c r="F21" s="9">
        <v>857240</v>
      </c>
      <c r="G21" s="9">
        <v>930717</v>
      </c>
      <c r="H21" s="9">
        <v>930717</v>
      </c>
      <c r="I21" s="9">
        <v>898332</v>
      </c>
      <c r="J21" s="9">
        <v>900490</v>
      </c>
      <c r="K21" s="9">
        <v>918828</v>
      </c>
      <c r="L21" s="9">
        <v>986384</v>
      </c>
      <c r="M21" s="9">
        <v>752271</v>
      </c>
      <c r="N21" s="9">
        <v>748294</v>
      </c>
      <c r="O21" s="9">
        <v>744992</v>
      </c>
      <c r="P21" s="9">
        <v>874078</v>
      </c>
      <c r="Q21" s="9">
        <v>838877</v>
      </c>
      <c r="R21" s="9">
        <v>796281</v>
      </c>
      <c r="S21" s="9">
        <v>784112</v>
      </c>
      <c r="T21" s="9">
        <v>803429</v>
      </c>
      <c r="U21" s="9">
        <v>748561</v>
      </c>
    </row>
    <row r="22" spans="2:21" ht="15" customHeight="1">
      <c r="B22" s="8" t="s">
        <v>156</v>
      </c>
      <c r="C22" s="8" t="s">
        <v>157</v>
      </c>
      <c r="D22" s="9">
        <v>0</v>
      </c>
      <c r="E22" s="9">
        <v>0</v>
      </c>
      <c r="F22" s="9">
        <v>0</v>
      </c>
      <c r="G22" s="9">
        <v>0</v>
      </c>
      <c r="H22" s="9">
        <v>0</v>
      </c>
      <c r="I22" s="9">
        <v>0</v>
      </c>
      <c r="J22" s="9">
        <v>0</v>
      </c>
      <c r="K22" s="9">
        <v>0</v>
      </c>
      <c r="L22" s="9">
        <v>0</v>
      </c>
      <c r="M22" s="9">
        <v>984553</v>
      </c>
      <c r="N22" s="9">
        <v>922098</v>
      </c>
      <c r="O22" s="9">
        <v>894006</v>
      </c>
      <c r="P22" s="9">
        <v>838792</v>
      </c>
      <c r="Q22" s="9">
        <v>796671</v>
      </c>
      <c r="R22" s="9">
        <v>751195</v>
      </c>
      <c r="S22" s="9">
        <v>735823</v>
      </c>
      <c r="T22" s="9">
        <v>710657</v>
      </c>
      <c r="U22" s="9">
        <v>665512</v>
      </c>
    </row>
    <row r="23" spans="2:21" ht="15" customHeight="1">
      <c r="B23" s="8" t="s">
        <v>67</v>
      </c>
      <c r="C23" s="8" t="s">
        <v>22</v>
      </c>
      <c r="D23" s="9">
        <v>24228</v>
      </c>
      <c r="E23" s="9">
        <v>0</v>
      </c>
      <c r="F23" s="9">
        <v>0</v>
      </c>
      <c r="G23" s="9">
        <v>0</v>
      </c>
      <c r="H23" s="9">
        <v>0</v>
      </c>
      <c r="I23" s="9">
        <v>0</v>
      </c>
      <c r="J23" s="9">
        <v>0</v>
      </c>
      <c r="K23" s="9">
        <v>0</v>
      </c>
      <c r="L23" s="9">
        <v>0</v>
      </c>
      <c r="M23" s="9">
        <v>0</v>
      </c>
      <c r="N23" s="9">
        <v>0</v>
      </c>
      <c r="O23" s="9">
        <v>0</v>
      </c>
      <c r="P23" s="9">
        <v>0</v>
      </c>
      <c r="Q23" s="9">
        <v>0</v>
      </c>
      <c r="R23" s="9">
        <v>0</v>
      </c>
      <c r="S23" s="9">
        <v>0</v>
      </c>
      <c r="T23" s="9">
        <v>0</v>
      </c>
      <c r="U23" s="9">
        <v>24012</v>
      </c>
    </row>
    <row r="24" spans="2:21" ht="15" customHeight="1">
      <c r="B24" s="8" t="s">
        <v>68</v>
      </c>
      <c r="C24" s="8" t="s">
        <v>23</v>
      </c>
      <c r="D24" s="9">
        <v>1383737</v>
      </c>
      <c r="E24" s="9">
        <v>1425284</v>
      </c>
      <c r="F24" s="9">
        <v>1430858</v>
      </c>
      <c r="G24" s="9">
        <v>1414227</v>
      </c>
      <c r="H24" s="9">
        <v>1473247</v>
      </c>
      <c r="I24" s="9">
        <v>1445532</v>
      </c>
      <c r="J24" s="9">
        <v>1534620</v>
      </c>
      <c r="K24" s="9">
        <v>1577736</v>
      </c>
      <c r="L24" s="9">
        <v>1760121</v>
      </c>
      <c r="M24" s="9">
        <v>1750550</v>
      </c>
      <c r="N24" s="9">
        <v>1776340</v>
      </c>
      <c r="O24" s="9">
        <v>1879861</v>
      </c>
      <c r="P24" s="9">
        <v>1847916</v>
      </c>
      <c r="Q24" s="9">
        <v>1866048</v>
      </c>
      <c r="R24" s="9">
        <v>1910219</v>
      </c>
      <c r="S24" s="9">
        <v>1964394</v>
      </c>
      <c r="T24" s="9">
        <v>1996552</v>
      </c>
      <c r="U24" s="9">
        <v>1872826</v>
      </c>
    </row>
    <row r="25" spans="2:21" ht="15" customHeight="1">
      <c r="B25" s="8" t="s">
        <v>69</v>
      </c>
      <c r="C25" s="8" t="s">
        <v>48</v>
      </c>
      <c r="D25" s="9">
        <v>637</v>
      </c>
      <c r="E25" s="9">
        <v>608</v>
      </c>
      <c r="F25" s="9">
        <v>733</v>
      </c>
      <c r="G25" s="9">
        <v>103</v>
      </c>
      <c r="H25" s="9">
        <v>103</v>
      </c>
      <c r="I25" s="9">
        <v>15261</v>
      </c>
      <c r="J25" s="9">
        <v>12860</v>
      </c>
      <c r="K25" s="9">
        <v>13985</v>
      </c>
      <c r="L25" s="9">
        <v>12145</v>
      </c>
      <c r="M25" s="9">
        <v>10993</v>
      </c>
      <c r="N25" s="9">
        <v>11044</v>
      </c>
      <c r="O25" s="9">
        <v>11120</v>
      </c>
      <c r="P25" s="9">
        <v>2679</v>
      </c>
      <c r="Q25" s="9">
        <v>7184</v>
      </c>
      <c r="R25" s="9">
        <v>10861</v>
      </c>
      <c r="S25" s="9">
        <v>10923</v>
      </c>
      <c r="T25" s="9">
        <v>11901</v>
      </c>
      <c r="U25" s="9">
        <v>5318</v>
      </c>
    </row>
    <row r="26" spans="2:21" ht="15" customHeight="1">
      <c r="B26" s="8" t="s">
        <v>70</v>
      </c>
      <c r="C26" s="8" t="s">
        <v>24</v>
      </c>
      <c r="D26" s="9">
        <v>951249</v>
      </c>
      <c r="E26" s="9">
        <v>1007263</v>
      </c>
      <c r="F26" s="9">
        <v>1290943</v>
      </c>
      <c r="G26" s="9">
        <v>1065068</v>
      </c>
      <c r="H26" s="9">
        <v>1065068</v>
      </c>
      <c r="I26" s="9">
        <v>1039282</v>
      </c>
      <c r="J26" s="9">
        <v>1338337</v>
      </c>
      <c r="K26" s="9">
        <v>1189769</v>
      </c>
      <c r="L26" s="9">
        <v>1166995</v>
      </c>
      <c r="M26" s="9">
        <v>1152820</v>
      </c>
      <c r="N26" s="9">
        <v>1085831</v>
      </c>
      <c r="O26" s="9">
        <v>1157007</v>
      </c>
      <c r="P26" s="9">
        <v>1061846</v>
      </c>
      <c r="Q26" s="9">
        <v>1267521</v>
      </c>
      <c r="R26" s="9">
        <v>1104493</v>
      </c>
      <c r="S26" s="9">
        <v>1134331</v>
      </c>
      <c r="T26" s="9">
        <v>1030287</v>
      </c>
      <c r="U26" s="9">
        <v>1320448</v>
      </c>
    </row>
    <row r="27" spans="2:21" ht="15" customHeight="1">
      <c r="B27" s="23" t="s">
        <v>71</v>
      </c>
      <c r="C27" s="23" t="s">
        <v>25</v>
      </c>
      <c r="D27" s="24">
        <v>147038306</v>
      </c>
      <c r="E27" s="24">
        <v>150005625</v>
      </c>
      <c r="F27" s="24">
        <v>152027395</v>
      </c>
      <c r="G27" s="24">
        <v>157194589</v>
      </c>
      <c r="H27" s="24">
        <v>156955344</v>
      </c>
      <c r="I27" s="24">
        <v>159841934</v>
      </c>
      <c r="J27" s="24">
        <v>171840340</v>
      </c>
      <c r="K27" s="24">
        <v>179895530</v>
      </c>
      <c r="L27" s="24">
        <v>206656303</v>
      </c>
      <c r="M27" s="24">
        <v>209028511</v>
      </c>
      <c r="N27" s="24">
        <v>205901246</v>
      </c>
      <c r="O27" s="24">
        <v>204072985</v>
      </c>
      <c r="P27" s="24">
        <f t="shared" ref="P27:R27" si="0">P3+P4+P5+P6+P10+P12+P18+P19+P20+P21+P22+P24+P25+P26+P17</f>
        <v>209476166</v>
      </c>
      <c r="Q27" s="24">
        <f t="shared" si="0"/>
        <v>215899523</v>
      </c>
      <c r="R27" s="24">
        <f t="shared" si="0"/>
        <v>221609230</v>
      </c>
      <c r="S27" s="24">
        <f>S3+S4+S5+S6+S10+S12+S18+S19+S20+S21+S22+S24+S25+S26+S17</f>
        <v>222833964</v>
      </c>
      <c r="T27" s="24">
        <f>T3+T4+T5+T6+T10+T12+T18+T19+T20+T21+T22+T24+T25+T26+T17</f>
        <v>229311309</v>
      </c>
      <c r="U27" s="24">
        <f>U3+U4+U5+U6+U10+U12+U18+U19+U20+U21+U22+U23+U24+U25+U26+U17</f>
        <v>238243006</v>
      </c>
    </row>
    <row r="28" spans="2:21" ht="15" customHeight="1">
      <c r="B28" s="25" t="s">
        <v>72</v>
      </c>
      <c r="C28" s="25" t="s">
        <v>26</v>
      </c>
      <c r="D28" s="9"/>
      <c r="E28" s="9"/>
      <c r="F28" s="9"/>
      <c r="G28" s="9"/>
      <c r="H28" s="9"/>
      <c r="I28" s="9"/>
      <c r="J28" s="9"/>
      <c r="K28" s="9"/>
      <c r="L28" s="9"/>
      <c r="M28" s="9"/>
      <c r="N28" s="9"/>
      <c r="O28" s="9"/>
      <c r="P28" s="9"/>
      <c r="Q28" s="9"/>
      <c r="R28" s="9"/>
    </row>
    <row r="29" spans="2:21" ht="15" customHeight="1">
      <c r="B29" s="8" t="s">
        <v>73</v>
      </c>
      <c r="C29" s="8" t="s">
        <v>27</v>
      </c>
      <c r="D29" s="9">
        <v>2635608</v>
      </c>
      <c r="E29" s="9">
        <v>2591607</v>
      </c>
      <c r="F29" s="9">
        <v>2730481</v>
      </c>
      <c r="G29" s="9">
        <v>2783083</v>
      </c>
      <c r="H29" s="9">
        <v>2783083</v>
      </c>
      <c r="I29" s="9">
        <v>3838090</v>
      </c>
      <c r="J29" s="9">
        <v>3252586</v>
      </c>
      <c r="K29" s="9">
        <v>3646033</v>
      </c>
      <c r="L29" s="9">
        <v>2832928</v>
      </c>
      <c r="M29" s="9">
        <v>2999969</v>
      </c>
      <c r="N29" s="9">
        <v>3456334</v>
      </c>
      <c r="O29" s="9">
        <v>3997194</v>
      </c>
      <c r="P29" s="9">
        <v>5031744</v>
      </c>
      <c r="Q29" s="9">
        <v>5392512</v>
      </c>
      <c r="R29" s="9">
        <v>5370650</v>
      </c>
      <c r="S29" s="9">
        <v>5188853</v>
      </c>
      <c r="T29" s="9">
        <v>5373312</v>
      </c>
      <c r="U29" s="9">
        <v>5387105</v>
      </c>
    </row>
    <row r="30" spans="2:21" ht="26.45" customHeight="1">
      <c r="B30" s="8" t="s">
        <v>330</v>
      </c>
      <c r="C30" s="8" t="s">
        <v>28</v>
      </c>
      <c r="D30" s="9">
        <v>3707502</v>
      </c>
      <c r="E30" s="9">
        <v>2870863</v>
      </c>
      <c r="F30" s="9">
        <v>2855030</v>
      </c>
      <c r="G30" s="9">
        <v>2047397</v>
      </c>
      <c r="H30" s="9">
        <v>2047397</v>
      </c>
      <c r="I30" s="9">
        <v>2219765</v>
      </c>
      <c r="J30" s="9">
        <v>2250847</v>
      </c>
      <c r="K30" s="9">
        <v>2415070</v>
      </c>
      <c r="L30" s="9">
        <v>2393883</v>
      </c>
      <c r="M30" s="9">
        <v>2799501</v>
      </c>
      <c r="N30" s="9">
        <v>2679022</v>
      </c>
      <c r="O30" s="9">
        <v>3294662</v>
      </c>
      <c r="P30" s="9">
        <v>2852440</v>
      </c>
      <c r="Q30" s="9">
        <v>5346307</v>
      </c>
      <c r="R30" s="9">
        <v>4509972</v>
      </c>
      <c r="S30" s="9">
        <v>4568547</v>
      </c>
      <c r="T30" s="9">
        <v>4805438</v>
      </c>
      <c r="U30" s="9">
        <v>4276355</v>
      </c>
    </row>
    <row r="31" spans="2:21" ht="15" customHeight="1">
      <c r="B31" s="8" t="s">
        <v>74</v>
      </c>
      <c r="C31" s="8" t="s">
        <v>29</v>
      </c>
      <c r="D31" s="9">
        <v>108452441</v>
      </c>
      <c r="E31" s="9">
        <v>109111159</v>
      </c>
      <c r="F31" s="9">
        <v>111022779</v>
      </c>
      <c r="G31" s="9">
        <v>111481135</v>
      </c>
      <c r="H31" s="9">
        <v>111481135</v>
      </c>
      <c r="I31" s="9">
        <v>113576582</v>
      </c>
      <c r="J31" s="9">
        <v>122024315</v>
      </c>
      <c r="K31" s="9">
        <v>124629188</v>
      </c>
      <c r="L31" s="9">
        <v>149616658</v>
      </c>
      <c r="M31" s="9">
        <v>147745854</v>
      </c>
      <c r="N31" s="9">
        <v>149675448</v>
      </c>
      <c r="O31" s="9">
        <v>151026677</v>
      </c>
      <c r="P31" s="9">
        <v>156480343</v>
      </c>
      <c r="Q31" s="9">
        <v>157756779</v>
      </c>
      <c r="R31" s="9">
        <v>165889547</v>
      </c>
      <c r="S31" s="9">
        <v>166726404</v>
      </c>
      <c r="T31" s="9">
        <v>171522255</v>
      </c>
      <c r="U31" s="9">
        <v>179484645</v>
      </c>
    </row>
    <row r="32" spans="2:21" ht="15" customHeight="1">
      <c r="B32" s="8" t="s">
        <v>105</v>
      </c>
      <c r="C32" s="8" t="s">
        <v>106</v>
      </c>
      <c r="D32" s="9">
        <v>1609089</v>
      </c>
      <c r="E32" s="9">
        <v>4232640</v>
      </c>
      <c r="F32" s="9">
        <v>3089265</v>
      </c>
      <c r="G32" s="9">
        <v>6940096</v>
      </c>
      <c r="H32" s="9">
        <v>6940096</v>
      </c>
      <c r="I32" s="9">
        <v>7041622</v>
      </c>
      <c r="J32" s="9">
        <v>8654914</v>
      </c>
      <c r="K32" s="9">
        <v>10899542</v>
      </c>
      <c r="L32" s="9">
        <v>9896543</v>
      </c>
      <c r="M32" s="9">
        <v>12276566</v>
      </c>
      <c r="N32" s="9">
        <v>7816340</v>
      </c>
      <c r="O32" s="9">
        <v>1024092</v>
      </c>
      <c r="P32" s="9">
        <v>990863</v>
      </c>
      <c r="Q32" s="9">
        <v>1143063</v>
      </c>
      <c r="R32" s="9">
        <v>1084214</v>
      </c>
      <c r="S32" s="9">
        <v>826814</v>
      </c>
      <c r="T32" s="9">
        <v>653687</v>
      </c>
      <c r="U32" s="9">
        <v>589300</v>
      </c>
    </row>
    <row r="33" spans="2:21" ht="15" customHeight="1">
      <c r="B33" s="8" t="s">
        <v>75</v>
      </c>
      <c r="C33" s="8" t="s">
        <v>30</v>
      </c>
      <c r="D33" s="9">
        <v>5384435</v>
      </c>
      <c r="E33" s="9">
        <v>5961983</v>
      </c>
      <c r="F33" s="9">
        <v>5895475</v>
      </c>
      <c r="G33" s="9">
        <v>5895814</v>
      </c>
      <c r="H33" s="9">
        <v>5895814</v>
      </c>
      <c r="I33" s="9">
        <v>5164719</v>
      </c>
      <c r="J33" s="9">
        <v>2665741</v>
      </c>
      <c r="K33" s="9">
        <v>8208916</v>
      </c>
      <c r="L33" s="9">
        <v>9368617</v>
      </c>
      <c r="M33" s="9">
        <v>9297910</v>
      </c>
      <c r="N33" s="9">
        <v>9888731</v>
      </c>
      <c r="O33" s="9">
        <v>11234769</v>
      </c>
      <c r="P33" s="9">
        <v>10629516</v>
      </c>
      <c r="Q33" s="9">
        <v>11812558</v>
      </c>
      <c r="R33" s="9">
        <v>9967063</v>
      </c>
      <c r="S33" s="9">
        <v>10312795</v>
      </c>
      <c r="T33" s="9">
        <v>11241312</v>
      </c>
      <c r="U33" s="9">
        <v>12238115</v>
      </c>
    </row>
    <row r="34" spans="2:21" ht="15" customHeight="1">
      <c r="B34" s="8" t="s">
        <v>158</v>
      </c>
      <c r="C34" s="8" t="s">
        <v>159</v>
      </c>
      <c r="D34" s="9">
        <v>0</v>
      </c>
      <c r="E34" s="9">
        <v>0</v>
      </c>
      <c r="F34" s="9">
        <v>0</v>
      </c>
      <c r="G34" s="9">
        <v>0</v>
      </c>
      <c r="H34" s="9">
        <v>0</v>
      </c>
      <c r="I34" s="9">
        <v>0</v>
      </c>
      <c r="J34" s="9">
        <v>0</v>
      </c>
      <c r="K34" s="9">
        <v>0</v>
      </c>
      <c r="L34" s="9">
        <v>0</v>
      </c>
      <c r="M34" s="9">
        <v>829328</v>
      </c>
      <c r="N34" s="9">
        <v>783653</v>
      </c>
      <c r="O34" s="9">
        <v>753151</v>
      </c>
      <c r="P34" s="9">
        <v>746632</v>
      </c>
      <c r="Q34" s="9">
        <v>726541</v>
      </c>
      <c r="R34" s="9">
        <v>664663</v>
      </c>
      <c r="S34" s="9">
        <v>645156</v>
      </c>
      <c r="T34" s="9">
        <v>624690</v>
      </c>
      <c r="U34" s="9">
        <v>585442</v>
      </c>
    </row>
    <row r="35" spans="2:21" ht="15" customHeight="1">
      <c r="B35" s="8" t="s">
        <v>76</v>
      </c>
      <c r="C35" s="8" t="s">
        <v>31</v>
      </c>
      <c r="D35" s="9">
        <v>931147</v>
      </c>
      <c r="E35" s="9">
        <v>929221</v>
      </c>
      <c r="F35" s="9">
        <v>951054</v>
      </c>
      <c r="G35" s="9">
        <v>1488602</v>
      </c>
      <c r="H35" s="9">
        <v>1488602</v>
      </c>
      <c r="I35" s="9">
        <v>1500901</v>
      </c>
      <c r="J35" s="9">
        <v>6068808</v>
      </c>
      <c r="K35" s="9">
        <v>2641923</v>
      </c>
      <c r="L35" s="9">
        <v>2644341</v>
      </c>
      <c r="M35" s="9">
        <v>2652866</v>
      </c>
      <c r="N35" s="9">
        <v>2627382</v>
      </c>
      <c r="O35" s="9">
        <v>2679254</v>
      </c>
      <c r="P35" s="9">
        <v>2630271</v>
      </c>
      <c r="Q35" s="9">
        <v>2743390</v>
      </c>
      <c r="R35" s="9">
        <v>2703243</v>
      </c>
      <c r="S35" s="9">
        <v>2731657</v>
      </c>
      <c r="T35" s="9">
        <v>2754605</v>
      </c>
      <c r="U35" s="9">
        <v>2774080</v>
      </c>
    </row>
    <row r="36" spans="2:21" ht="15" customHeight="1">
      <c r="B36" s="8" t="s">
        <v>77</v>
      </c>
      <c r="C36" s="8" t="s">
        <v>32</v>
      </c>
      <c r="D36" s="9">
        <v>0</v>
      </c>
      <c r="E36" s="9">
        <v>87089</v>
      </c>
      <c r="F36" s="9">
        <v>143726</v>
      </c>
      <c r="G36" s="9">
        <v>192925</v>
      </c>
      <c r="H36" s="9">
        <v>192925</v>
      </c>
      <c r="I36" s="9">
        <v>147693</v>
      </c>
      <c r="J36" s="9">
        <v>114479</v>
      </c>
      <c r="K36" s="9">
        <v>140937</v>
      </c>
      <c r="L36" s="9">
        <v>288300</v>
      </c>
      <c r="M36" s="9">
        <v>244386</v>
      </c>
      <c r="N36" s="9">
        <v>164102</v>
      </c>
      <c r="O36" s="9">
        <v>350464</v>
      </c>
      <c r="P36" s="9">
        <v>343763</v>
      </c>
      <c r="Q36" s="9">
        <v>317142</v>
      </c>
      <c r="R36" s="9">
        <v>60750</v>
      </c>
      <c r="S36" s="9">
        <v>90245</v>
      </c>
      <c r="T36" s="9">
        <v>79049</v>
      </c>
      <c r="U36" s="9">
        <v>0</v>
      </c>
    </row>
    <row r="37" spans="2:21" ht="31.5" customHeight="1">
      <c r="B37" s="8" t="s">
        <v>132</v>
      </c>
      <c r="C37" s="8" t="s">
        <v>134</v>
      </c>
      <c r="D37" s="9">
        <v>51497</v>
      </c>
      <c r="E37" s="9">
        <v>49198</v>
      </c>
      <c r="F37" s="9">
        <v>49595</v>
      </c>
      <c r="G37" s="9">
        <v>50652</v>
      </c>
      <c r="H37" s="9">
        <v>65686</v>
      </c>
      <c r="I37" s="9">
        <v>68036</v>
      </c>
      <c r="J37" s="9">
        <v>64295</v>
      </c>
      <c r="K37" s="9">
        <v>65656</v>
      </c>
      <c r="L37" s="9">
        <v>81048</v>
      </c>
      <c r="M37" s="9">
        <v>71081</v>
      </c>
      <c r="N37" s="9">
        <v>54716</v>
      </c>
      <c r="O37" s="9">
        <v>56080</v>
      </c>
      <c r="P37" s="9">
        <v>66109</v>
      </c>
      <c r="Q37" s="9">
        <v>62126</v>
      </c>
      <c r="R37" s="9">
        <v>60684</v>
      </c>
      <c r="S37" s="9">
        <v>59563</v>
      </c>
      <c r="T37" s="9">
        <v>64541</v>
      </c>
      <c r="U37" s="9">
        <v>55179</v>
      </c>
    </row>
    <row r="38" spans="2:21" ht="15" customHeight="1">
      <c r="B38" s="8" t="s">
        <v>133</v>
      </c>
      <c r="C38" s="8" t="s">
        <v>135</v>
      </c>
      <c r="D38" s="9">
        <v>82727</v>
      </c>
      <c r="E38" s="9">
        <v>89589</v>
      </c>
      <c r="F38" s="9">
        <v>111160</v>
      </c>
      <c r="G38" s="9">
        <v>102482</v>
      </c>
      <c r="H38" s="9">
        <v>102482</v>
      </c>
      <c r="I38" s="9">
        <v>108114</v>
      </c>
      <c r="J38" s="9">
        <v>152034</v>
      </c>
      <c r="K38" s="9">
        <v>118947</v>
      </c>
      <c r="L38" s="9">
        <v>132881</v>
      </c>
      <c r="M38" s="9">
        <v>199142</v>
      </c>
      <c r="N38" s="9">
        <v>179256</v>
      </c>
      <c r="O38" s="9">
        <v>169423</v>
      </c>
      <c r="P38" s="9">
        <v>445615</v>
      </c>
      <c r="Q38" s="9">
        <v>484383</v>
      </c>
      <c r="R38" s="9">
        <v>500450</v>
      </c>
      <c r="S38" s="9">
        <v>507401</v>
      </c>
      <c r="T38" s="9">
        <v>952115</v>
      </c>
      <c r="U38" s="9">
        <v>1123240</v>
      </c>
    </row>
    <row r="39" spans="2:21" ht="15" customHeight="1">
      <c r="B39" s="8" t="s">
        <v>112</v>
      </c>
      <c r="C39" s="8" t="s">
        <v>33</v>
      </c>
      <c r="D39" s="9">
        <v>2493215</v>
      </c>
      <c r="E39" s="9">
        <v>2185711</v>
      </c>
      <c r="F39" s="9">
        <v>2530310</v>
      </c>
      <c r="G39" s="9">
        <v>2882676</v>
      </c>
      <c r="H39" s="9">
        <v>2882850</v>
      </c>
      <c r="I39" s="9">
        <v>2431684</v>
      </c>
      <c r="J39" s="9">
        <v>2632224</v>
      </c>
      <c r="K39" s="9">
        <v>2619243</v>
      </c>
      <c r="L39" s="9">
        <v>2806404</v>
      </c>
      <c r="M39" s="9">
        <v>3122394</v>
      </c>
      <c r="N39" s="9">
        <v>3046579</v>
      </c>
      <c r="O39" s="9">
        <v>3069057</v>
      </c>
      <c r="P39" s="9">
        <v>2279360</v>
      </c>
      <c r="Q39" s="9">
        <v>2873209</v>
      </c>
      <c r="R39" s="9">
        <v>2910485</v>
      </c>
      <c r="S39" s="9">
        <v>2720500</v>
      </c>
      <c r="T39" s="9">
        <v>2582315</v>
      </c>
      <c r="U39" s="9">
        <v>2641156</v>
      </c>
    </row>
    <row r="40" spans="2:21" ht="15" customHeight="1">
      <c r="B40" s="26" t="s">
        <v>78</v>
      </c>
      <c r="C40" s="26" t="s">
        <v>34</v>
      </c>
      <c r="D40" s="27">
        <v>125347661</v>
      </c>
      <c r="E40" s="27">
        <v>128109060</v>
      </c>
      <c r="F40" s="27">
        <v>129378875</v>
      </c>
      <c r="G40" s="27">
        <v>133864862</v>
      </c>
      <c r="H40" s="27">
        <v>133880070</v>
      </c>
      <c r="I40" s="27">
        <v>136097206</v>
      </c>
      <c r="J40" s="27">
        <v>147880243</v>
      </c>
      <c r="K40" s="27">
        <v>155385455</v>
      </c>
      <c r="L40" s="27">
        <v>180061603</v>
      </c>
      <c r="M40" s="27">
        <v>182238997</v>
      </c>
      <c r="N40" s="27">
        <v>180371563</v>
      </c>
      <c r="O40" s="27">
        <v>177654823</v>
      </c>
      <c r="P40" s="27">
        <f t="shared" ref="P40:R40" si="1">SUM(P29:P39)</f>
        <v>182496656</v>
      </c>
      <c r="Q40" s="27">
        <f t="shared" si="1"/>
        <v>188658010</v>
      </c>
      <c r="R40" s="27">
        <f t="shared" si="1"/>
        <v>193721721</v>
      </c>
      <c r="S40" s="27">
        <f>SUM(S29:S39)</f>
        <v>194377935</v>
      </c>
      <c r="T40" s="27">
        <f>SUM(T29:T39)</f>
        <v>200653319</v>
      </c>
      <c r="U40" s="27">
        <f>SUM(U29:U39)</f>
        <v>209154617</v>
      </c>
    </row>
    <row r="41" spans="2:21" ht="15" customHeight="1">
      <c r="B41" s="25" t="s">
        <v>79</v>
      </c>
      <c r="C41" s="25" t="s">
        <v>35</v>
      </c>
      <c r="D41" s="9"/>
      <c r="E41" s="9"/>
      <c r="F41" s="9"/>
      <c r="G41" s="9"/>
      <c r="H41" s="9"/>
      <c r="I41" s="9"/>
      <c r="J41" s="9"/>
      <c r="K41" s="9"/>
      <c r="L41" s="9"/>
      <c r="M41" s="9"/>
      <c r="N41" s="9"/>
      <c r="O41" s="9"/>
      <c r="P41" s="9"/>
      <c r="Q41" s="9"/>
      <c r="R41" s="9"/>
      <c r="S41" s="9"/>
      <c r="T41" s="9"/>
      <c r="U41" s="9"/>
    </row>
    <row r="42" spans="2:21" ht="15" customHeight="1">
      <c r="B42" s="26" t="s">
        <v>152</v>
      </c>
      <c r="C42" s="26" t="s">
        <v>151</v>
      </c>
      <c r="D42" s="27">
        <v>20357769</v>
      </c>
      <c r="E42" s="27">
        <v>20611167</v>
      </c>
      <c r="F42" s="27">
        <v>21286695</v>
      </c>
      <c r="G42" s="27">
        <v>21893318</v>
      </c>
      <c r="H42" s="27">
        <v>21638865</v>
      </c>
      <c r="I42" s="27">
        <v>22214036</v>
      </c>
      <c r="J42" s="27">
        <v>22549097</v>
      </c>
      <c r="K42" s="27">
        <v>23020221</v>
      </c>
      <c r="L42" s="27">
        <v>25030516</v>
      </c>
      <c r="M42" s="27">
        <v>25379061</v>
      </c>
      <c r="N42" s="27">
        <v>24132374</v>
      </c>
      <c r="O42" s="27">
        <v>24937822</v>
      </c>
      <c r="P42" s="27">
        <f t="shared" ref="P42:R42" si="2">SUM(P43:P47)</f>
        <v>25431987</v>
      </c>
      <c r="Q42" s="27">
        <f t="shared" si="2"/>
        <v>25635076</v>
      </c>
      <c r="R42" s="27">
        <f t="shared" si="2"/>
        <v>26317842</v>
      </c>
      <c r="S42" s="27">
        <f>SUM(S43:S47)</f>
        <v>26826490</v>
      </c>
      <c r="T42" s="27">
        <f>SUM(T43:T47)</f>
        <v>26994750</v>
      </c>
      <c r="U42" s="27">
        <f>SUM(U43:U47)</f>
        <v>27384381</v>
      </c>
    </row>
    <row r="43" spans="2:21" ht="15" customHeight="1">
      <c r="B43" s="8" t="s">
        <v>80</v>
      </c>
      <c r="C43" s="8" t="s">
        <v>36</v>
      </c>
      <c r="D43" s="9">
        <v>992345</v>
      </c>
      <c r="E43" s="9">
        <v>992345</v>
      </c>
      <c r="F43" s="9">
        <v>993335</v>
      </c>
      <c r="G43" s="9">
        <v>993335</v>
      </c>
      <c r="H43" s="9">
        <v>993335</v>
      </c>
      <c r="I43" s="9">
        <v>993335</v>
      </c>
      <c r="J43" s="9">
        <v>993335</v>
      </c>
      <c r="K43" s="9">
        <v>993335</v>
      </c>
      <c r="L43" s="9">
        <v>1020883</v>
      </c>
      <c r="M43" s="9">
        <v>1020883</v>
      </c>
      <c r="N43" s="9">
        <v>1020883</v>
      </c>
      <c r="O43" s="9">
        <v>1020883</v>
      </c>
      <c r="P43" s="9">
        <v>1020883</v>
      </c>
      <c r="Q43" s="9">
        <v>1020883</v>
      </c>
      <c r="R43" s="9">
        <v>1020883</v>
      </c>
      <c r="S43" s="9">
        <v>1021893</v>
      </c>
      <c r="T43" s="9">
        <v>1021893</v>
      </c>
      <c r="U43" s="9">
        <v>1021893</v>
      </c>
    </row>
    <row r="44" spans="2:21" ht="15" customHeight="1">
      <c r="B44" s="8" t="s">
        <v>81</v>
      </c>
      <c r="C44" s="8" t="s">
        <v>37</v>
      </c>
      <c r="D44" s="9">
        <v>15799143</v>
      </c>
      <c r="E44" s="9">
        <v>16916409</v>
      </c>
      <c r="F44" s="9">
        <v>16920093</v>
      </c>
      <c r="G44" s="9">
        <v>16920129</v>
      </c>
      <c r="H44" s="9">
        <v>16920129</v>
      </c>
      <c r="I44" s="9">
        <v>16923096</v>
      </c>
      <c r="J44" s="9">
        <v>17959061</v>
      </c>
      <c r="K44" s="9">
        <v>17962140</v>
      </c>
      <c r="L44" s="9">
        <v>18911741</v>
      </c>
      <c r="M44" s="9">
        <v>18914513</v>
      </c>
      <c r="N44" s="9">
        <v>20123479</v>
      </c>
      <c r="O44" s="9">
        <v>20126366</v>
      </c>
      <c r="P44" s="9">
        <v>20141925</v>
      </c>
      <c r="Q44" s="9">
        <v>20184917</v>
      </c>
      <c r="R44" s="9">
        <v>21296994</v>
      </c>
      <c r="S44" s="9">
        <v>21296994</v>
      </c>
      <c r="T44" s="9">
        <v>21296994</v>
      </c>
      <c r="U44" s="9">
        <v>22352383</v>
      </c>
    </row>
    <row r="45" spans="2:21" ht="15" customHeight="1">
      <c r="B45" s="8" t="s">
        <v>82</v>
      </c>
      <c r="C45" s="8" t="s">
        <v>38</v>
      </c>
      <c r="D45" s="9">
        <v>392443</v>
      </c>
      <c r="E45" s="9">
        <v>531471</v>
      </c>
      <c r="F45" s="9">
        <v>645109</v>
      </c>
      <c r="G45" s="9">
        <v>714466</v>
      </c>
      <c r="H45" s="9">
        <v>670419</v>
      </c>
      <c r="I45" s="9">
        <v>807876</v>
      </c>
      <c r="J45" s="9">
        <v>803829</v>
      </c>
      <c r="K45" s="9">
        <v>774943</v>
      </c>
      <c r="L45" s="9">
        <v>1019373</v>
      </c>
      <c r="M45" s="9">
        <v>1025050</v>
      </c>
      <c r="N45" s="9">
        <v>1213076</v>
      </c>
      <c r="O45" s="9">
        <v>1331334</v>
      </c>
      <c r="P45" s="9">
        <v>1316061</v>
      </c>
      <c r="Q45" s="9">
        <v>1346610</v>
      </c>
      <c r="R45" s="9">
        <v>1724523</v>
      </c>
      <c r="S45" s="9">
        <v>1752578</v>
      </c>
      <c r="T45" s="9">
        <v>1839292</v>
      </c>
      <c r="U45" s="9">
        <v>2077170</v>
      </c>
    </row>
    <row r="46" spans="2:21" ht="15" customHeight="1">
      <c r="B46" s="8" t="s">
        <v>83</v>
      </c>
      <c r="C46" s="8" t="s">
        <v>39</v>
      </c>
      <c r="D46" s="9">
        <v>2721377</v>
      </c>
      <c r="E46" s="9">
        <v>1070567</v>
      </c>
      <c r="F46" s="9">
        <v>1071356</v>
      </c>
      <c r="G46" s="9">
        <v>1066075</v>
      </c>
      <c r="H46" s="9">
        <v>855668</v>
      </c>
      <c r="I46" s="9">
        <v>3055796</v>
      </c>
      <c r="J46" s="9">
        <v>1715129</v>
      </c>
      <c r="K46" s="9">
        <v>1714594</v>
      </c>
      <c r="L46" s="9">
        <v>1715165</v>
      </c>
      <c r="M46" s="9">
        <v>4079608</v>
      </c>
      <c r="N46" s="9">
        <v>839464</v>
      </c>
      <c r="O46" s="9">
        <v>827926</v>
      </c>
      <c r="P46" s="9">
        <v>814771</v>
      </c>
      <c r="Q46" s="9">
        <v>2911732</v>
      </c>
      <c r="R46" s="9">
        <v>1799655</v>
      </c>
      <c r="S46" s="9">
        <v>1799404</v>
      </c>
      <c r="T46" s="9">
        <v>1799404</v>
      </c>
      <c r="U46" s="9">
        <v>1781182</v>
      </c>
    </row>
    <row r="47" spans="2:21" ht="15" customHeight="1">
      <c r="B47" s="8" t="s">
        <v>84</v>
      </c>
      <c r="C47" s="8" t="s">
        <v>40</v>
      </c>
      <c r="D47" s="9">
        <v>452461</v>
      </c>
      <c r="E47" s="9">
        <v>1100375</v>
      </c>
      <c r="F47" s="9">
        <v>1656802</v>
      </c>
      <c r="G47" s="9">
        <v>2199313</v>
      </c>
      <c r="H47" s="9">
        <v>2199314</v>
      </c>
      <c r="I47" s="9">
        <v>433933</v>
      </c>
      <c r="J47" s="9">
        <v>1077743</v>
      </c>
      <c r="K47" s="9">
        <v>1575209</v>
      </c>
      <c r="L47" s="9">
        <v>2363354</v>
      </c>
      <c r="M47" s="9">
        <v>339007</v>
      </c>
      <c r="N47" s="9">
        <v>935472</v>
      </c>
      <c r="O47" s="9">
        <v>1631313</v>
      </c>
      <c r="P47" s="9">
        <v>2138347</v>
      </c>
      <c r="Q47" s="9">
        <v>170934</v>
      </c>
      <c r="R47" s="9">
        <v>475787</v>
      </c>
      <c r="S47" s="9">
        <v>955621</v>
      </c>
      <c r="T47" s="9">
        <v>1037167</v>
      </c>
      <c r="U47" s="9">
        <v>151753</v>
      </c>
    </row>
    <row r="48" spans="2:21" ht="15" customHeight="1">
      <c r="B48" s="26" t="s">
        <v>85</v>
      </c>
      <c r="C48" s="26" t="s">
        <v>49</v>
      </c>
      <c r="D48" s="28">
        <v>1332876</v>
      </c>
      <c r="E48" s="28">
        <v>1285398</v>
      </c>
      <c r="F48" s="28">
        <v>1361825</v>
      </c>
      <c r="G48" s="28">
        <v>1436409</v>
      </c>
      <c r="H48" s="28">
        <v>1436409</v>
      </c>
      <c r="I48" s="28">
        <v>1530692</v>
      </c>
      <c r="J48" s="28">
        <v>1411000</v>
      </c>
      <c r="K48" s="28">
        <v>1489854</v>
      </c>
      <c r="L48" s="28">
        <v>1564184</v>
      </c>
      <c r="M48" s="28">
        <v>1410453</v>
      </c>
      <c r="N48" s="28">
        <v>1397309</v>
      </c>
      <c r="O48" s="28">
        <v>1480340</v>
      </c>
      <c r="P48" s="27">
        <v>1547523</v>
      </c>
      <c r="Q48" s="27">
        <v>1606437</v>
      </c>
      <c r="R48" s="27">
        <v>1569667</v>
      </c>
      <c r="S48" s="27">
        <v>1629539</v>
      </c>
      <c r="T48" s="27">
        <v>1663240</v>
      </c>
      <c r="U48" s="27">
        <v>1704008</v>
      </c>
    </row>
    <row r="49" spans="2:21" ht="15" customHeight="1">
      <c r="B49" s="26" t="s">
        <v>86</v>
      </c>
      <c r="C49" s="26" t="s">
        <v>41</v>
      </c>
      <c r="D49" s="27">
        <v>21690645</v>
      </c>
      <c r="E49" s="27">
        <v>21896565</v>
      </c>
      <c r="F49" s="27">
        <v>22648520</v>
      </c>
      <c r="G49" s="27">
        <v>23329727</v>
      </c>
      <c r="H49" s="27">
        <v>23075274</v>
      </c>
      <c r="I49" s="27">
        <v>23744728</v>
      </c>
      <c r="J49" s="27">
        <v>23960097</v>
      </c>
      <c r="K49" s="27">
        <v>24510075</v>
      </c>
      <c r="L49" s="27">
        <v>26594700</v>
      </c>
      <c r="M49" s="27">
        <v>26789514</v>
      </c>
      <c r="N49" s="27">
        <v>25529683</v>
      </c>
      <c r="O49" s="27">
        <v>26418162</v>
      </c>
      <c r="P49" s="27">
        <f t="shared" ref="P49:R49" si="3">P42+P48</f>
        <v>26979510</v>
      </c>
      <c r="Q49" s="27">
        <f t="shared" si="3"/>
        <v>27241513</v>
      </c>
      <c r="R49" s="27">
        <f t="shared" si="3"/>
        <v>27887509</v>
      </c>
      <c r="S49" s="27">
        <f>S42+S48</f>
        <v>28456029</v>
      </c>
      <c r="T49" s="27">
        <f>T42+T48</f>
        <v>28657990</v>
      </c>
      <c r="U49" s="27">
        <f>U42+U48</f>
        <v>29088389</v>
      </c>
    </row>
    <row r="50" spans="2:21" s="291" customFormat="1" ht="15" customHeight="1">
      <c r="B50" s="397" t="s">
        <v>264</v>
      </c>
      <c r="C50" s="397" t="s">
        <v>42</v>
      </c>
      <c r="D50" s="398">
        <v>147038306</v>
      </c>
      <c r="E50" s="398">
        <v>150005625</v>
      </c>
      <c r="F50" s="398">
        <v>152027395</v>
      </c>
      <c r="G50" s="398">
        <v>157194589</v>
      </c>
      <c r="H50" s="398">
        <v>156955344</v>
      </c>
      <c r="I50" s="398">
        <v>159841934</v>
      </c>
      <c r="J50" s="398">
        <v>171840340</v>
      </c>
      <c r="K50" s="398">
        <v>179895530</v>
      </c>
      <c r="L50" s="398">
        <v>206656303</v>
      </c>
      <c r="M50" s="398">
        <v>209028511</v>
      </c>
      <c r="N50" s="398">
        <v>205901246</v>
      </c>
      <c r="O50" s="398">
        <v>204072985</v>
      </c>
      <c r="P50" s="398">
        <v>209476166</v>
      </c>
      <c r="Q50" s="398">
        <v>215899523</v>
      </c>
      <c r="R50" s="398">
        <v>221609230</v>
      </c>
      <c r="S50" s="398">
        <f>S40+S49</f>
        <v>222833964</v>
      </c>
      <c r="T50" s="398">
        <f>T40+T49</f>
        <v>229311309</v>
      </c>
      <c r="U50" s="398">
        <f>U40+U49</f>
        <v>238243006</v>
      </c>
    </row>
    <row r="51" spans="2:21" s="291" customFormat="1"/>
    <row r="52" spans="2:21" s="291" customFormat="1">
      <c r="P52" s="417"/>
      <c r="Q52" s="417"/>
      <c r="R52" s="417"/>
      <c r="S52" s="417"/>
      <c r="T52" s="417"/>
      <c r="U52" s="417"/>
    </row>
    <row r="53" spans="2:21">
      <c r="C53" s="291"/>
      <c r="D53" s="291"/>
      <c r="E53" s="291"/>
      <c r="F53" s="291"/>
      <c r="G53" s="291"/>
      <c r="H53" s="291"/>
      <c r="I53" s="291"/>
      <c r="J53" s="291"/>
      <c r="K53" s="291"/>
      <c r="L53" s="291"/>
      <c r="M53" s="291"/>
      <c r="N53" s="291"/>
      <c r="O53" s="291"/>
      <c r="P53" s="291"/>
      <c r="Q53" s="291"/>
      <c r="R53" s="291"/>
      <c r="S53" s="466"/>
      <c r="T53" s="466"/>
      <c r="U53" s="466"/>
    </row>
    <row r="54" spans="2:21">
      <c r="C54" s="291"/>
      <c r="D54" s="291"/>
      <c r="E54" s="291"/>
      <c r="F54" s="291"/>
      <c r="G54" s="291"/>
      <c r="H54" s="291"/>
      <c r="I54" s="291"/>
      <c r="J54" s="291"/>
      <c r="K54" s="291"/>
      <c r="L54" s="291"/>
      <c r="M54" s="291"/>
      <c r="N54" s="291"/>
      <c r="O54" s="291"/>
      <c r="P54" s="291"/>
      <c r="Q54" s="291"/>
      <c r="R54" s="291"/>
      <c r="S54" s="466"/>
      <c r="T54" s="466"/>
      <c r="U54" s="466"/>
    </row>
    <row r="55" spans="2:21">
      <c r="S55" s="445"/>
      <c r="T55" s="445"/>
      <c r="U55" s="445"/>
    </row>
    <row r="56" spans="2:21">
      <c r="S56" s="446"/>
      <c r="T56" s="446"/>
      <c r="U56" s="446"/>
    </row>
    <row r="57" spans="2:21">
      <c r="S57" s="446"/>
      <c r="T57" s="446"/>
      <c r="U57" s="446"/>
    </row>
    <row r="58" spans="2:21">
      <c r="S58" s="446"/>
      <c r="T58" s="446"/>
      <c r="U58" s="446"/>
    </row>
    <row r="59" spans="2:21">
      <c r="S59" s="446"/>
      <c r="T59" s="446"/>
      <c r="U59" s="446"/>
    </row>
    <row r="60" spans="2:21">
      <c r="S60" s="445"/>
      <c r="T60" s="445"/>
      <c r="U60" s="445"/>
    </row>
    <row r="61" spans="2:21">
      <c r="S61" s="445"/>
      <c r="T61" s="445"/>
      <c r="U61" s="445"/>
    </row>
    <row r="62" spans="2:21">
      <c r="S62" s="444"/>
      <c r="T62" s="444"/>
      <c r="U62" s="444"/>
    </row>
    <row r="63" spans="2:21">
      <c r="S63" s="446"/>
      <c r="T63" s="446"/>
      <c r="U63" s="446"/>
    </row>
    <row r="64" spans="2:21">
      <c r="S64" s="446"/>
      <c r="T64" s="446"/>
      <c r="U64" s="446"/>
    </row>
    <row r="65" spans="19:21">
      <c r="S65" s="446"/>
      <c r="T65" s="446"/>
      <c r="U65" s="446"/>
    </row>
    <row r="66" spans="19:21">
      <c r="S66" s="446"/>
      <c r="T66" s="446"/>
      <c r="U66" s="446"/>
    </row>
    <row r="67" spans="19:21">
      <c r="S67" s="445"/>
      <c r="T67" s="445"/>
      <c r="U67" s="445"/>
    </row>
    <row r="68" spans="19:21">
      <c r="S68" s="446"/>
      <c r="T68" s="446"/>
      <c r="U68" s="446"/>
    </row>
    <row r="69" spans="19:21">
      <c r="S69" s="446"/>
      <c r="T69" s="446"/>
      <c r="U69" s="446"/>
    </row>
    <row r="70" spans="19:21">
      <c r="S70" s="447"/>
      <c r="T70" s="447"/>
      <c r="U70" s="447"/>
    </row>
    <row r="71" spans="19:21">
      <c r="S71" s="447"/>
      <c r="T71" s="447"/>
      <c r="U71" s="447"/>
    </row>
    <row r="72" spans="19:21">
      <c r="S72" s="447"/>
      <c r="T72" s="447"/>
      <c r="U72" s="447"/>
    </row>
    <row r="73" spans="19:21">
      <c r="S73" s="447"/>
      <c r="T73" s="447"/>
      <c r="U73" s="447"/>
    </row>
    <row r="74" spans="19:21">
      <c r="S74" s="447"/>
      <c r="T74" s="447"/>
      <c r="U74" s="447"/>
    </row>
    <row r="75" spans="19:21">
      <c r="S75" s="447"/>
      <c r="T75" s="447"/>
      <c r="U75" s="447"/>
    </row>
    <row r="76" spans="19:21">
      <c r="S76" s="445"/>
      <c r="T76" s="445"/>
      <c r="U76" s="445"/>
    </row>
    <row r="77" spans="19:21">
      <c r="S77" s="448"/>
      <c r="T77" s="448"/>
      <c r="U77" s="448"/>
    </row>
    <row r="78" spans="19:21">
      <c r="S78" s="449"/>
      <c r="T78" s="449"/>
      <c r="U78" s="449"/>
    </row>
    <row r="79" spans="19:21">
      <c r="S79" s="449"/>
      <c r="T79" s="449"/>
      <c r="U79" s="449"/>
    </row>
    <row r="80" spans="19:21">
      <c r="S80" s="449"/>
      <c r="T80" s="449"/>
      <c r="U80" s="449"/>
    </row>
    <row r="81" spans="19:21">
      <c r="S81" s="449"/>
      <c r="T81" s="449"/>
      <c r="U81" s="449"/>
    </row>
    <row r="82" spans="19:21">
      <c r="S82" s="449"/>
      <c r="T82" s="449"/>
      <c r="U82" s="449"/>
    </row>
    <row r="83" spans="19:21">
      <c r="S83" s="291"/>
      <c r="T83" s="291"/>
      <c r="U83" s="291"/>
    </row>
  </sheetData>
  <customSheetViews>
    <customSheetView guid="{2A0EA35A-7F53-4AD8-895C-C234D094A4A4}" showPageBreaks="1" printArea="1">
      <pane xSplit="2" ySplit="1" topLeftCell="C2" activePane="bottomRight" state="frozen"/>
      <selection pane="bottomRight" activeCell="F13" sqref="F13"/>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99D69CD-4B7E-42BC-9944-5BD922EB798C}" showPageBreaks="1" printArea="1" topLeftCell="C1">
      <pane xSplit="1" ySplit="1" topLeftCell="O2" activePane="bottomRight" state="frozen"/>
      <selection pane="bottomRight" activeCell="V13" sqref="V13"/>
      <pageMargins left="0" right="0" top="0.98425196850393704" bottom="0.98425196850393704" header="0.51181102362204722" footer="0.51181102362204722"/>
      <pageSetup paperSize="9" scale="48" orientation="landscape" r:id="rId3"/>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687A4863-1825-4D63-B732-E76682E6DE4F}" showPageBreaks="1" printArea="1" hiddenColumns="1" topLeftCell="D10">
      <selection activeCell="R29" sqref="R29"/>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9AF4A83C-CF57-4B40-8A74-6A0EA6C2FE5C}" showPageBreaks="1" printArea="1" hiddenColumns="1" topLeftCell="A22">
      <selection activeCell="U47" sqref="U47"/>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12F8D032-8143-430B-8DFF-852E8796C402}" showPageBreaks="1" printArea="1" topLeftCell="D10">
      <selection activeCell="R26" sqref="R26"/>
      <pageMargins left="0.98425196850393704" right="0.98425196850393704" top="0.98425196850393704" bottom="0.98425196850393704" header="0.51181102362204722" footer="0.51181102362204722"/>
      <pageSetup paperSize="9" scale="37" orientation="landscape" r:id="rId7"/>
      <headerFooter alignWithMargins="0"/>
    </customSheetView>
  </customSheetViews>
  <pageMargins left="0.98425196850393704" right="0.98425196850393704" top="0.98425196850393704" bottom="0.98425196850393704" header="0.51181102362204722" footer="0.51181102362204722"/>
  <pageSetup paperSize="9" scale="37" orientation="landscape" r:id="rId8"/>
  <headerFooter alignWithMargins="0"/>
  <ignoredErrors>
    <ignoredError sqref="S42:U42 P42:R42"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2A0EA35A-7F53-4AD8-895C-C234D094A4A4}" state="hidden">
      <selection activeCell="K36" sqref="K36"/>
      <pageMargins left="0.7" right="0.7" top="0.75" bottom="0.75" header="0.3" footer="0.3"/>
    </customSheetView>
    <customSheetView guid="{8DA78CF1-615A-4626-9893-6751995631A4}">
      <selection activeCell="K36" sqref="K36"/>
      <pageMargins left="0.7" right="0.7" top="0.75" bottom="0.75" header="0.3" footer="0.3"/>
    </customSheetView>
    <customSheetView guid="{899D69CD-4B7E-42BC-9944-5BD922EB798C}">
      <selection activeCell="K36" sqref="K36"/>
      <pageMargins left="0.7" right="0.7" top="0.75" bottom="0.75" header="0.3" footer="0.3"/>
    </customSheetView>
    <customSheetView guid="{25FAB884-5E17-4008-8139-33D910C7DEFE}">
      <selection activeCell="K36" sqref="K36"/>
      <pageMargins left="0.7" right="0.7" top="0.75" bottom="0.75" header="0.3" footer="0.3"/>
    </customSheetView>
    <customSheetView guid="{687A4863-1825-4D63-B732-E76682E6DE4F}">
      <selection activeCell="K36" sqref="K36"/>
      <pageMargins left="0.7" right="0.7" top="0.75" bottom="0.75" header="0.3" footer="0.3"/>
    </customSheetView>
    <customSheetView guid="{9AF4A83C-CF57-4B40-8A74-6A0EA6C2FE5C}">
      <selection activeCell="K36" sqref="K36"/>
      <pageMargins left="0.7" right="0.7" top="0.75" bottom="0.75" header="0.3" footer="0.3"/>
    </customSheetView>
    <customSheetView guid="{12F8D032-8143-430B-8DFF-852E8796C402}" state="hidden">
      <selection activeCell="D13" sqref="D13"/>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2A0EA35A-7F53-4AD8-895C-C234D094A4A4}" state="hidden">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zoomScaleNormal="50" workbookViewId="0">
      <pane xSplit="2" ySplit="1" topLeftCell="J2" activePane="bottomRight" state="frozen"/>
      <selection pane="topRight" activeCell="C1" sqref="C1"/>
      <selection pane="bottomLeft" activeCell="A2" sqref="A2"/>
      <selection pane="bottomRight" activeCell="M14" sqref="M14"/>
    </sheetView>
  </sheetViews>
  <sheetFormatPr defaultColWidth="8.85546875" defaultRowHeight="14.25"/>
  <cols>
    <col min="1" max="2" width="50.85546875" style="6" customWidth="1"/>
    <col min="3" max="9" width="13.42578125" style="6" customWidth="1"/>
    <col min="10" max="16" width="12.42578125" style="318" customWidth="1"/>
    <col min="17" max="19" width="12.42578125" style="6" customWidth="1"/>
    <col min="20" max="20" width="13.140625" style="6" customWidth="1"/>
    <col min="21" max="16384" width="8.85546875" style="6"/>
  </cols>
  <sheetData>
    <row r="1" spans="1:20" s="371" customFormat="1" ht="19.5" customHeight="1" thickBot="1">
      <c r="A1" s="369" t="s">
        <v>89</v>
      </c>
      <c r="B1" s="369" t="s">
        <v>1</v>
      </c>
      <c r="C1" s="370" t="s">
        <v>188</v>
      </c>
      <c r="D1" s="370" t="s">
        <v>189</v>
      </c>
      <c r="E1" s="370" t="s">
        <v>190</v>
      </c>
      <c r="F1" s="370" t="s">
        <v>191</v>
      </c>
      <c r="G1" s="370" t="s">
        <v>192</v>
      </c>
      <c r="H1" s="370" t="s">
        <v>193</v>
      </c>
      <c r="I1" s="370" t="s">
        <v>194</v>
      </c>
      <c r="J1" s="370" t="s">
        <v>195</v>
      </c>
      <c r="K1" s="370" t="s">
        <v>196</v>
      </c>
      <c r="L1" s="370" t="s">
        <v>197</v>
      </c>
      <c r="M1" s="370" t="s">
        <v>594</v>
      </c>
      <c r="N1" s="370" t="s">
        <v>603</v>
      </c>
      <c r="O1" s="370" t="s">
        <v>638</v>
      </c>
      <c r="P1" s="370" t="s">
        <v>642</v>
      </c>
      <c r="Q1" s="370" t="s">
        <v>651</v>
      </c>
      <c r="R1" s="370" t="s">
        <v>662</v>
      </c>
      <c r="S1" s="370" t="s">
        <v>672</v>
      </c>
    </row>
    <row r="2" spans="1:20" s="22" customFormat="1" ht="28.5">
      <c r="A2" s="377" t="s">
        <v>241</v>
      </c>
      <c r="B2" s="377" t="s">
        <v>150</v>
      </c>
      <c r="C2" s="372">
        <f>SUM(C3:C4,C6,C7:C10)</f>
        <v>1559802</v>
      </c>
      <c r="D2" s="372">
        <f>SUM(D3:D4,D6,D7:D10)</f>
        <v>1620968</v>
      </c>
      <c r="E2" s="372">
        <f>SUM(E3:E4,E6,E7:E10)</f>
        <v>1663808</v>
      </c>
      <c r="F2" s="372">
        <f>SUM(F3:F4,F6,F7:F10)</f>
        <v>1684729</v>
      </c>
      <c r="G2" s="372">
        <f>SUM(G3:G4,G6,G7:G10)</f>
        <v>1688501</v>
      </c>
      <c r="H2" s="372">
        <f t="shared" ref="H2:P2" si="0">SUM(H3:H4,H6,H7:H10)</f>
        <v>1736743</v>
      </c>
      <c r="I2" s="372">
        <f t="shared" si="0"/>
        <v>1805709</v>
      </c>
      <c r="J2" s="372">
        <f t="shared" si="0"/>
        <v>1982843</v>
      </c>
      <c r="K2" s="372">
        <f t="shared" si="0"/>
        <v>2081699</v>
      </c>
      <c r="L2" s="372">
        <f t="shared" si="0"/>
        <v>2116449</v>
      </c>
      <c r="M2" s="372">
        <f t="shared" si="0"/>
        <v>2166156</v>
      </c>
      <c r="N2" s="372">
        <f t="shared" si="0"/>
        <v>2097532</v>
      </c>
      <c r="O2" s="372">
        <f t="shared" si="0"/>
        <v>2050090</v>
      </c>
      <c r="P2" s="372">
        <f t="shared" si="0"/>
        <v>1758240</v>
      </c>
      <c r="Q2" s="372">
        <f>SUM(Q3:Q4,Q6,Q7:Q10)</f>
        <v>1548842</v>
      </c>
      <c r="R2" s="372">
        <f>SUM(R3:R4,R6,R7:R10)</f>
        <v>1539580</v>
      </c>
      <c r="S2" s="372">
        <f>SUM(S3:S4,S6,S7:S10)</f>
        <v>1492477</v>
      </c>
      <c r="T2" s="372"/>
    </row>
    <row r="3" spans="1:20" ht="15" customHeight="1">
      <c r="A3" s="378" t="s">
        <v>617</v>
      </c>
      <c r="B3" s="378" t="s">
        <v>616</v>
      </c>
      <c r="C3" s="373">
        <v>460085</v>
      </c>
      <c r="D3" s="373">
        <v>487186</v>
      </c>
      <c r="E3" s="373">
        <v>492361</v>
      </c>
      <c r="F3" s="373">
        <v>497431</v>
      </c>
      <c r="G3" s="373">
        <f t="shared" ref="G3:N3" si="1">G12+G20+G23</f>
        <v>496216</v>
      </c>
      <c r="H3" s="373">
        <f t="shared" si="1"/>
        <v>511595</v>
      </c>
      <c r="I3" s="373">
        <f t="shared" si="1"/>
        <v>534737</v>
      </c>
      <c r="J3" s="373">
        <f t="shared" si="1"/>
        <v>580009</v>
      </c>
      <c r="K3" s="373">
        <f t="shared" si="1"/>
        <v>612516</v>
      </c>
      <c r="L3" s="373">
        <f t="shared" si="1"/>
        <v>622815</v>
      </c>
      <c r="M3" s="373">
        <f t="shared" si="1"/>
        <v>638868</v>
      </c>
      <c r="N3" s="373">
        <f t="shared" si="1"/>
        <v>645950</v>
      </c>
      <c r="O3" s="373">
        <f t="shared" ref="O3:P3" si="2">O12+O20+O23</f>
        <v>626627</v>
      </c>
      <c r="P3" s="373">
        <f t="shared" si="2"/>
        <v>527245</v>
      </c>
      <c r="Q3" s="421">
        <f>Q12+Q20+Q23</f>
        <v>462046</v>
      </c>
      <c r="R3" s="421">
        <f>R12+R20+R23</f>
        <v>466777</v>
      </c>
      <c r="S3" s="421">
        <f>S12+S20+S23</f>
        <v>446797</v>
      </c>
      <c r="T3" s="421"/>
    </row>
    <row r="4" spans="1:20" ht="15" customHeight="1">
      <c r="A4" s="378" t="s">
        <v>243</v>
      </c>
      <c r="B4" s="378" t="s">
        <v>175</v>
      </c>
      <c r="C4" s="373">
        <v>853134</v>
      </c>
      <c r="D4" s="373">
        <v>888127</v>
      </c>
      <c r="E4" s="373">
        <v>920251</v>
      </c>
      <c r="F4" s="373">
        <v>940928</v>
      </c>
      <c r="G4" s="373">
        <f t="shared" ref="G4:N5" si="3">G13+G24</f>
        <v>947745</v>
      </c>
      <c r="H4" s="373">
        <f t="shared" si="3"/>
        <v>978260</v>
      </c>
      <c r="I4" s="373">
        <f t="shared" si="3"/>
        <v>1002343</v>
      </c>
      <c r="J4" s="373">
        <f t="shared" si="3"/>
        <v>1100303</v>
      </c>
      <c r="K4" s="373">
        <f t="shared" si="3"/>
        <v>1156682</v>
      </c>
      <c r="L4" s="373">
        <f t="shared" si="3"/>
        <v>1194984</v>
      </c>
      <c r="M4" s="373">
        <f t="shared" si="3"/>
        <v>1239653</v>
      </c>
      <c r="N4" s="373">
        <f t="shared" si="3"/>
        <v>1173562</v>
      </c>
      <c r="O4" s="373">
        <f>O13+O24</f>
        <v>1161883</v>
      </c>
      <c r="P4" s="373">
        <f>P13+P24</f>
        <v>1000596</v>
      </c>
      <c r="Q4" s="421">
        <f>Q13+Q24</f>
        <v>868014</v>
      </c>
      <c r="R4" s="421">
        <f>R13+R24</f>
        <v>871255</v>
      </c>
      <c r="S4" s="421">
        <f>S13+S24</f>
        <v>842359</v>
      </c>
      <c r="T4" s="421"/>
    </row>
    <row r="5" spans="1:20" s="15" customFormat="1" ht="15" customHeight="1">
      <c r="A5" s="379" t="s">
        <v>244</v>
      </c>
      <c r="B5" s="379" t="s">
        <v>256</v>
      </c>
      <c r="C5" s="374">
        <v>250682</v>
      </c>
      <c r="D5" s="374">
        <v>262395</v>
      </c>
      <c r="E5" s="374">
        <v>273039</v>
      </c>
      <c r="F5" s="374">
        <v>280480</v>
      </c>
      <c r="G5" s="373">
        <f t="shared" si="3"/>
        <v>280304</v>
      </c>
      <c r="H5" s="373">
        <f t="shared" si="3"/>
        <v>293213</v>
      </c>
      <c r="I5" s="373">
        <f t="shared" si="3"/>
        <v>303386</v>
      </c>
      <c r="J5" s="373">
        <f t="shared" si="3"/>
        <v>355178</v>
      </c>
      <c r="K5" s="373">
        <f t="shared" si="3"/>
        <v>396264</v>
      </c>
      <c r="L5" s="373">
        <f t="shared" si="3"/>
        <v>407861</v>
      </c>
      <c r="M5" s="373">
        <f t="shared" si="3"/>
        <v>418730</v>
      </c>
      <c r="N5" s="373">
        <f t="shared" si="3"/>
        <v>423653</v>
      </c>
      <c r="O5" s="373">
        <f t="shared" ref="O5:P5" si="4">O14+O25</f>
        <v>423909</v>
      </c>
      <c r="P5" s="373">
        <f t="shared" si="4"/>
        <v>359484</v>
      </c>
      <c r="Q5" s="422">
        <f>Q14+Q25</f>
        <v>286950</v>
      </c>
      <c r="R5" s="422">
        <f>R14+R25</f>
        <v>278684</v>
      </c>
      <c r="S5" s="422">
        <f>S14+S25</f>
        <v>272884</v>
      </c>
      <c r="T5" s="422"/>
    </row>
    <row r="6" spans="1:20" ht="15" customHeight="1">
      <c r="A6" s="378" t="s">
        <v>621</v>
      </c>
      <c r="B6" s="378" t="s">
        <v>622</v>
      </c>
      <c r="C6" s="373">
        <v>161140</v>
      </c>
      <c r="D6" s="373">
        <v>162598</v>
      </c>
      <c r="E6" s="373">
        <v>169278</v>
      </c>
      <c r="F6" s="373">
        <v>167983</v>
      </c>
      <c r="G6" s="373">
        <f>G21+G26</f>
        <v>169101</v>
      </c>
      <c r="H6" s="373">
        <f t="shared" ref="H6:N6" si="5">H21+H26</f>
        <v>169183</v>
      </c>
      <c r="I6" s="373">
        <f t="shared" si="5"/>
        <v>192883</v>
      </c>
      <c r="J6" s="373">
        <f t="shared" si="5"/>
        <v>211727</v>
      </c>
      <c r="K6" s="373">
        <f t="shared" si="5"/>
        <v>228036</v>
      </c>
      <c r="L6" s="373">
        <f t="shared" si="5"/>
        <v>215282</v>
      </c>
      <c r="M6" s="373">
        <f t="shared" si="5"/>
        <v>203939</v>
      </c>
      <c r="N6" s="373">
        <f t="shared" si="5"/>
        <v>207409</v>
      </c>
      <c r="O6" s="373">
        <f t="shared" ref="O6:P6" si="6">O21+O26</f>
        <v>199946</v>
      </c>
      <c r="P6" s="373">
        <f t="shared" si="6"/>
        <v>204724</v>
      </c>
      <c r="Q6" s="421">
        <f>Q21+Q26</f>
        <v>213409</v>
      </c>
      <c r="R6" s="421">
        <f>R21+R26</f>
        <v>208088</v>
      </c>
      <c r="S6" s="421">
        <f>S21+S26</f>
        <v>201596</v>
      </c>
      <c r="T6" s="421"/>
    </row>
    <row r="7" spans="1:20" ht="15" customHeight="1">
      <c r="A7" s="378" t="s">
        <v>246</v>
      </c>
      <c r="B7" s="378" t="s">
        <v>258</v>
      </c>
      <c r="C7" s="373">
        <v>3093</v>
      </c>
      <c r="D7" s="373">
        <v>6082</v>
      </c>
      <c r="E7" s="373">
        <v>9178</v>
      </c>
      <c r="F7" s="373">
        <v>8989</v>
      </c>
      <c r="G7" s="373">
        <f>G15</f>
        <v>13653</v>
      </c>
      <c r="H7" s="373">
        <f t="shared" ref="H7:N7" si="7">H15</f>
        <v>15780</v>
      </c>
      <c r="I7" s="373">
        <f t="shared" si="7"/>
        <v>16818</v>
      </c>
      <c r="J7" s="373">
        <f t="shared" si="7"/>
        <v>26701</v>
      </c>
      <c r="K7" s="373">
        <f t="shared" si="7"/>
        <v>24615</v>
      </c>
      <c r="L7" s="373">
        <f t="shared" si="7"/>
        <v>25573</v>
      </c>
      <c r="M7" s="373">
        <f t="shared" si="7"/>
        <v>26866</v>
      </c>
      <c r="N7" s="373">
        <f t="shared" si="7"/>
        <v>17314</v>
      </c>
      <c r="O7" s="373">
        <f t="shared" ref="O7:P7" si="8">O15</f>
        <v>11609</v>
      </c>
      <c r="P7" s="373">
        <f t="shared" si="8"/>
        <v>3725</v>
      </c>
      <c r="Q7" s="421">
        <f t="shared" ref="Q7:R10" si="9">Q15</f>
        <v>454</v>
      </c>
      <c r="R7" s="421">
        <f t="shared" si="9"/>
        <v>546</v>
      </c>
      <c r="S7" s="421">
        <f t="shared" ref="S7" si="10">S15</f>
        <v>331</v>
      </c>
      <c r="T7" s="421"/>
    </row>
    <row r="8" spans="1:20">
      <c r="A8" s="378" t="s">
        <v>62</v>
      </c>
      <c r="B8" s="378" t="s">
        <v>17</v>
      </c>
      <c r="C8" s="373">
        <v>15191</v>
      </c>
      <c r="D8" s="373">
        <v>16183</v>
      </c>
      <c r="E8" s="373">
        <v>16367</v>
      </c>
      <c r="F8" s="373">
        <v>16484</v>
      </c>
      <c r="G8" s="373">
        <f t="shared" ref="G8:N10" si="11">G16</f>
        <v>7691</v>
      </c>
      <c r="H8" s="373">
        <f t="shared" si="11"/>
        <v>8378</v>
      </c>
      <c r="I8" s="373">
        <f t="shared" si="11"/>
        <v>7816</v>
      </c>
      <c r="J8" s="373">
        <f t="shared" si="11"/>
        <v>11945</v>
      </c>
      <c r="K8" s="373">
        <f t="shared" si="11"/>
        <v>12821</v>
      </c>
      <c r="L8" s="373">
        <f t="shared" si="11"/>
        <v>12562</v>
      </c>
      <c r="M8" s="373">
        <f t="shared" si="11"/>
        <v>11057</v>
      </c>
      <c r="N8" s="373">
        <f t="shared" si="11"/>
        <v>11170</v>
      </c>
      <c r="O8" s="373">
        <f t="shared" ref="O8:P8" si="12">O16</f>
        <v>9889</v>
      </c>
      <c r="P8" s="373">
        <f t="shared" si="12"/>
        <v>2304</v>
      </c>
      <c r="Q8" s="421">
        <f t="shared" si="9"/>
        <v>228</v>
      </c>
      <c r="R8" s="421">
        <f t="shared" si="9"/>
        <v>-318</v>
      </c>
      <c r="S8" s="421">
        <f t="shared" ref="S8" si="13">S16</f>
        <v>-127</v>
      </c>
      <c r="T8" s="421"/>
    </row>
    <row r="9" spans="1:20">
      <c r="A9" s="378" t="s">
        <v>245</v>
      </c>
      <c r="B9" s="378" t="s">
        <v>177</v>
      </c>
      <c r="C9" s="373">
        <v>1710</v>
      </c>
      <c r="D9" s="373">
        <v>1518</v>
      </c>
      <c r="E9" s="373">
        <v>1445</v>
      </c>
      <c r="F9" s="373">
        <v>1703</v>
      </c>
      <c r="G9" s="373">
        <f t="shared" si="11"/>
        <v>1974</v>
      </c>
      <c r="H9" s="373">
        <f t="shared" si="11"/>
        <v>1941</v>
      </c>
      <c r="I9" s="373">
        <f t="shared" si="11"/>
        <v>2796</v>
      </c>
      <c r="J9" s="373">
        <f t="shared" si="11"/>
        <v>3083</v>
      </c>
      <c r="K9" s="373">
        <f t="shared" si="11"/>
        <v>2762</v>
      </c>
      <c r="L9" s="373">
        <f t="shared" si="11"/>
        <v>2496</v>
      </c>
      <c r="M9" s="373">
        <f t="shared" si="11"/>
        <v>2448</v>
      </c>
      <c r="N9" s="373">
        <f t="shared" si="11"/>
        <v>2447</v>
      </c>
      <c r="O9" s="373">
        <f t="shared" ref="O9:P9" si="14">O17</f>
        <v>2803</v>
      </c>
      <c r="P9" s="373">
        <f t="shared" si="14"/>
        <v>2330</v>
      </c>
      <c r="Q9" s="421">
        <f t="shared" si="9"/>
        <v>1514</v>
      </c>
      <c r="R9" s="421">
        <f t="shared" si="9"/>
        <v>1270</v>
      </c>
      <c r="S9" s="421">
        <f t="shared" ref="S9" si="15">S17</f>
        <v>1521</v>
      </c>
      <c r="T9" s="421"/>
    </row>
    <row r="10" spans="1:20">
      <c r="A10" s="378" t="s">
        <v>247</v>
      </c>
      <c r="B10" s="378" t="s">
        <v>259</v>
      </c>
      <c r="C10" s="373">
        <v>65449</v>
      </c>
      <c r="D10" s="373">
        <v>59274</v>
      </c>
      <c r="E10" s="373">
        <v>54928</v>
      </c>
      <c r="F10" s="373">
        <v>51211</v>
      </c>
      <c r="G10" s="373">
        <f t="shared" si="11"/>
        <v>52121</v>
      </c>
      <c r="H10" s="373">
        <f t="shared" si="11"/>
        <v>51606</v>
      </c>
      <c r="I10" s="373">
        <f t="shared" si="11"/>
        <v>48316</v>
      </c>
      <c r="J10" s="373">
        <f t="shared" si="11"/>
        <v>49075</v>
      </c>
      <c r="K10" s="373">
        <f t="shared" si="11"/>
        <v>44267</v>
      </c>
      <c r="L10" s="373">
        <f t="shared" si="11"/>
        <v>42737</v>
      </c>
      <c r="M10" s="373">
        <f t="shared" si="11"/>
        <v>43325</v>
      </c>
      <c r="N10" s="373">
        <f t="shared" si="11"/>
        <v>39680</v>
      </c>
      <c r="O10" s="373">
        <f t="shared" ref="O10:P10" si="16">O18</f>
        <v>37333</v>
      </c>
      <c r="P10" s="373">
        <f t="shared" si="16"/>
        <v>17316</v>
      </c>
      <c r="Q10" s="421">
        <f t="shared" si="9"/>
        <v>3177</v>
      </c>
      <c r="R10" s="421">
        <f t="shared" si="9"/>
        <v>-8038</v>
      </c>
      <c r="S10" s="421">
        <f t="shared" ref="S10" si="17">S18</f>
        <v>0</v>
      </c>
      <c r="T10" s="421"/>
    </row>
    <row r="11" spans="1:20" s="22" customFormat="1" ht="28.5">
      <c r="A11" s="377" t="s">
        <v>119</v>
      </c>
      <c r="B11" s="377" t="s">
        <v>123</v>
      </c>
      <c r="C11" s="12">
        <f t="shared" ref="C11:P11" si="18">SUM(C12:C13,C15,C16:C18)</f>
        <v>0</v>
      </c>
      <c r="D11" s="12">
        <f t="shared" si="18"/>
        <v>0</v>
      </c>
      <c r="E11" s="12">
        <f t="shared" si="18"/>
        <v>0</v>
      </c>
      <c r="F11" s="12">
        <f t="shared" si="18"/>
        <v>0</v>
      </c>
      <c r="G11" s="12">
        <f t="shared" si="18"/>
        <v>1487943</v>
      </c>
      <c r="H11" s="12">
        <f t="shared" si="18"/>
        <v>1537794</v>
      </c>
      <c r="I11" s="12">
        <f t="shared" si="18"/>
        <v>1584506</v>
      </c>
      <c r="J11" s="12">
        <f t="shared" si="18"/>
        <v>1734889</v>
      </c>
      <c r="K11" s="12">
        <f t="shared" si="18"/>
        <v>1821282</v>
      </c>
      <c r="L11" s="12">
        <f t="shared" si="18"/>
        <v>1869671</v>
      </c>
      <c r="M11" s="12">
        <f t="shared" si="18"/>
        <v>1923854</v>
      </c>
      <c r="N11" s="12">
        <f t="shared" si="18"/>
        <v>1852731</v>
      </c>
      <c r="O11" s="12">
        <f t="shared" si="18"/>
        <v>1816161</v>
      </c>
      <c r="P11" s="12">
        <f t="shared" si="18"/>
        <v>1535340</v>
      </c>
      <c r="Q11" s="12">
        <f>SUM(Q12:Q13,Q15,Q16:Q18)</f>
        <v>1323301</v>
      </c>
      <c r="R11" s="12">
        <f t="shared" ref="R11:S11" si="19">SUM(R12:R13,R15,R16:R18)</f>
        <v>1311566</v>
      </c>
      <c r="S11" s="12">
        <f t="shared" si="19"/>
        <v>1275781</v>
      </c>
      <c r="T11" s="12"/>
    </row>
    <row r="12" spans="1:20" s="318" customFormat="1" ht="15" customHeight="1">
      <c r="A12" s="346" t="s">
        <v>617</v>
      </c>
      <c r="B12" s="346" t="s">
        <v>616</v>
      </c>
      <c r="C12" s="9">
        <v>0</v>
      </c>
      <c r="D12" s="9">
        <v>0</v>
      </c>
      <c r="E12" s="9">
        <v>0</v>
      </c>
      <c r="F12" s="9">
        <v>0</v>
      </c>
      <c r="G12" s="9">
        <v>495715</v>
      </c>
      <c r="H12" s="9">
        <v>511085</v>
      </c>
      <c r="I12" s="9">
        <v>534228</v>
      </c>
      <c r="J12" s="9">
        <v>575313</v>
      </c>
      <c r="K12" s="9">
        <v>607477</v>
      </c>
      <c r="L12" s="9">
        <v>617598</v>
      </c>
      <c r="M12" s="9">
        <v>627128</v>
      </c>
      <c r="N12" s="9">
        <v>634055</v>
      </c>
      <c r="O12" s="9">
        <v>615521</v>
      </c>
      <c r="P12" s="9">
        <v>517023</v>
      </c>
      <c r="Q12" s="424">
        <v>454302</v>
      </c>
      <c r="R12" s="424">
        <v>454009</v>
      </c>
      <c r="S12" s="424">
        <v>435273</v>
      </c>
    </row>
    <row r="13" spans="1:20" s="318" customFormat="1">
      <c r="A13" s="346" t="s">
        <v>243</v>
      </c>
      <c r="B13" s="346" t="s">
        <v>175</v>
      </c>
      <c r="C13" s="9">
        <v>0</v>
      </c>
      <c r="D13" s="9">
        <v>0</v>
      </c>
      <c r="E13" s="9">
        <v>0</v>
      </c>
      <c r="F13" s="9">
        <v>0</v>
      </c>
      <c r="G13" s="9">
        <v>916789</v>
      </c>
      <c r="H13" s="9">
        <v>949004</v>
      </c>
      <c r="I13" s="9">
        <v>974532</v>
      </c>
      <c r="J13" s="9">
        <v>1068772</v>
      </c>
      <c r="K13" s="9">
        <v>1129340</v>
      </c>
      <c r="L13" s="9">
        <v>1168705</v>
      </c>
      <c r="M13" s="9">
        <v>1213030</v>
      </c>
      <c r="N13" s="9">
        <v>1148065</v>
      </c>
      <c r="O13" s="9">
        <f>1139006</f>
        <v>1139006</v>
      </c>
      <c r="P13" s="9">
        <v>992642</v>
      </c>
      <c r="Q13" s="423">
        <v>863626</v>
      </c>
      <c r="R13" s="424">
        <f>872696-8599</f>
        <v>864097</v>
      </c>
      <c r="S13" s="424">
        <v>838783</v>
      </c>
    </row>
    <row r="14" spans="1:20" s="375" customFormat="1">
      <c r="A14" s="379" t="s">
        <v>244</v>
      </c>
      <c r="B14" s="379" t="s">
        <v>256</v>
      </c>
      <c r="C14" s="9">
        <v>0</v>
      </c>
      <c r="D14" s="9">
        <v>0</v>
      </c>
      <c r="E14" s="9">
        <v>0</v>
      </c>
      <c r="F14" s="9">
        <v>0</v>
      </c>
      <c r="G14" s="9">
        <v>280304</v>
      </c>
      <c r="H14" s="9">
        <v>293213</v>
      </c>
      <c r="I14" s="9">
        <v>303386</v>
      </c>
      <c r="J14" s="9">
        <v>355178</v>
      </c>
      <c r="K14" s="9">
        <v>396264</v>
      </c>
      <c r="L14" s="9">
        <v>407861</v>
      </c>
      <c r="M14" s="9">
        <v>418730</v>
      </c>
      <c r="N14" s="9">
        <v>423653</v>
      </c>
      <c r="O14" s="9">
        <v>423909</v>
      </c>
      <c r="P14" s="9">
        <v>359484</v>
      </c>
      <c r="Q14" s="423">
        <v>286950</v>
      </c>
      <c r="R14" s="424">
        <v>278684</v>
      </c>
      <c r="S14" s="424">
        <v>272884</v>
      </c>
    </row>
    <row r="15" spans="1:20" s="318" customFormat="1">
      <c r="A15" s="346" t="s">
        <v>246</v>
      </c>
      <c r="B15" s="346" t="s">
        <v>258</v>
      </c>
      <c r="C15" s="9">
        <v>0</v>
      </c>
      <c r="D15" s="9">
        <v>0</v>
      </c>
      <c r="E15" s="9">
        <v>0</v>
      </c>
      <c r="F15" s="9">
        <v>0</v>
      </c>
      <c r="G15" s="9">
        <v>13653</v>
      </c>
      <c r="H15" s="9">
        <v>15780</v>
      </c>
      <c r="I15" s="9">
        <v>16818</v>
      </c>
      <c r="J15" s="9">
        <v>26701</v>
      </c>
      <c r="K15" s="9">
        <v>24615</v>
      </c>
      <c r="L15" s="9">
        <v>25573</v>
      </c>
      <c r="M15" s="9">
        <v>26866</v>
      </c>
      <c r="N15" s="9">
        <v>17314</v>
      </c>
      <c r="O15" s="9">
        <f>11609</f>
        <v>11609</v>
      </c>
      <c r="P15" s="9">
        <v>3725</v>
      </c>
      <c r="Q15" s="423">
        <v>454</v>
      </c>
      <c r="R15" s="424">
        <v>546</v>
      </c>
      <c r="S15" s="424">
        <v>331</v>
      </c>
    </row>
    <row r="16" spans="1:20" s="318" customFormat="1">
      <c r="A16" s="346" t="s">
        <v>62</v>
      </c>
      <c r="B16" s="346" t="s">
        <v>17</v>
      </c>
      <c r="C16" s="9">
        <v>0</v>
      </c>
      <c r="D16" s="9">
        <v>0</v>
      </c>
      <c r="E16" s="9">
        <v>0</v>
      </c>
      <c r="F16" s="9">
        <v>0</v>
      </c>
      <c r="G16" s="9">
        <v>7691</v>
      </c>
      <c r="H16" s="9">
        <v>8378</v>
      </c>
      <c r="I16" s="9">
        <v>7816</v>
      </c>
      <c r="J16" s="9">
        <v>11945</v>
      </c>
      <c r="K16" s="9">
        <v>12821</v>
      </c>
      <c r="L16" s="9">
        <v>12562</v>
      </c>
      <c r="M16" s="9">
        <v>11057</v>
      </c>
      <c r="N16" s="9">
        <v>11170</v>
      </c>
      <c r="O16" s="9">
        <v>9889</v>
      </c>
      <c r="P16" s="9">
        <v>2304</v>
      </c>
      <c r="Q16" s="423">
        <v>228</v>
      </c>
      <c r="R16" s="424">
        <v>-318</v>
      </c>
      <c r="S16" s="424">
        <v>-127</v>
      </c>
    </row>
    <row r="17" spans="1:20" s="318" customFormat="1">
      <c r="A17" s="346" t="s">
        <v>245</v>
      </c>
      <c r="B17" s="346" t="s">
        <v>177</v>
      </c>
      <c r="C17" s="9">
        <v>0</v>
      </c>
      <c r="D17" s="9">
        <v>0</v>
      </c>
      <c r="E17" s="9">
        <v>0</v>
      </c>
      <c r="F17" s="9">
        <v>0</v>
      </c>
      <c r="G17" s="9">
        <v>1974</v>
      </c>
      <c r="H17" s="9">
        <v>1941</v>
      </c>
      <c r="I17" s="9">
        <v>2796</v>
      </c>
      <c r="J17" s="9">
        <v>3083</v>
      </c>
      <c r="K17" s="9">
        <v>2762</v>
      </c>
      <c r="L17" s="9">
        <v>2496</v>
      </c>
      <c r="M17" s="9">
        <v>2448</v>
      </c>
      <c r="N17" s="9">
        <v>2447</v>
      </c>
      <c r="O17" s="9">
        <f>2802+1</f>
        <v>2803</v>
      </c>
      <c r="P17" s="9">
        <v>2330</v>
      </c>
      <c r="Q17" s="424">
        <v>1514</v>
      </c>
      <c r="R17" s="424">
        <v>1270</v>
      </c>
      <c r="S17" s="424">
        <v>1521</v>
      </c>
    </row>
    <row r="18" spans="1:20" s="318" customFormat="1">
      <c r="A18" s="346" t="s">
        <v>247</v>
      </c>
      <c r="B18" s="346" t="s">
        <v>259</v>
      </c>
      <c r="C18" s="9">
        <v>0</v>
      </c>
      <c r="D18" s="9">
        <v>0</v>
      </c>
      <c r="E18" s="9">
        <v>0</v>
      </c>
      <c r="F18" s="9">
        <v>0</v>
      </c>
      <c r="G18" s="9">
        <v>52121</v>
      </c>
      <c r="H18" s="9">
        <v>51606</v>
      </c>
      <c r="I18" s="9">
        <v>48316</v>
      </c>
      <c r="J18" s="9">
        <v>49075</v>
      </c>
      <c r="K18" s="9">
        <v>44267</v>
      </c>
      <c r="L18" s="9">
        <v>42737</v>
      </c>
      <c r="M18" s="9">
        <v>43325</v>
      </c>
      <c r="N18" s="9">
        <v>39680</v>
      </c>
      <c r="O18" s="9">
        <v>37333</v>
      </c>
      <c r="P18" s="9">
        <v>17316</v>
      </c>
      <c r="Q18" s="423">
        <v>3177</v>
      </c>
      <c r="R18" s="424">
        <v>-8038</v>
      </c>
      <c r="S18" s="424">
        <v>0</v>
      </c>
    </row>
    <row r="19" spans="1:20" s="376" customFormat="1" ht="42.75">
      <c r="A19" s="377" t="s">
        <v>248</v>
      </c>
      <c r="B19" s="377" t="s">
        <v>124</v>
      </c>
      <c r="C19" s="12">
        <f t="shared" ref="C19:J19" si="20">SUM(C20:C21)</f>
        <v>0</v>
      </c>
      <c r="D19" s="12">
        <f t="shared" si="20"/>
        <v>0</v>
      </c>
      <c r="E19" s="12">
        <f t="shared" si="20"/>
        <v>0</v>
      </c>
      <c r="F19" s="12">
        <f t="shared" si="20"/>
        <v>0</v>
      </c>
      <c r="G19" s="12">
        <f t="shared" si="20"/>
        <v>163239</v>
      </c>
      <c r="H19" s="12">
        <f t="shared" si="20"/>
        <v>174832</v>
      </c>
      <c r="I19" s="12">
        <f t="shared" si="20"/>
        <v>189226</v>
      </c>
      <c r="J19" s="12">
        <f t="shared" si="20"/>
        <v>206081</v>
      </c>
      <c r="K19" s="12">
        <f t="shared" ref="K19:P19" si="21">SUM(K20:K21)</f>
        <v>209674</v>
      </c>
      <c r="L19" s="12">
        <f t="shared" si="21"/>
        <v>199210</v>
      </c>
      <c r="M19" s="12">
        <f t="shared" si="21"/>
        <v>209193</v>
      </c>
      <c r="N19" s="12">
        <f t="shared" si="21"/>
        <v>215747</v>
      </c>
      <c r="O19" s="12">
        <f t="shared" si="21"/>
        <v>206593</v>
      </c>
      <c r="P19" s="12">
        <f t="shared" si="21"/>
        <v>209592</v>
      </c>
      <c r="Q19" s="425">
        <f>SUM(Q20:Q21)</f>
        <v>219908</v>
      </c>
      <c r="R19" s="425">
        <f>SUM(R20:R21)</f>
        <v>217748</v>
      </c>
      <c r="S19" s="425">
        <f>SUM(S20:S21)</f>
        <v>213302</v>
      </c>
      <c r="T19" s="425"/>
    </row>
    <row r="20" spans="1:20" s="318" customFormat="1">
      <c r="A20" s="346" t="s">
        <v>242</v>
      </c>
      <c r="B20" s="346" t="s">
        <v>173</v>
      </c>
      <c r="C20" s="9">
        <v>0</v>
      </c>
      <c r="D20" s="9">
        <v>0</v>
      </c>
      <c r="E20" s="9">
        <v>0</v>
      </c>
      <c r="F20" s="9">
        <v>0</v>
      </c>
      <c r="G20" s="9">
        <v>0</v>
      </c>
      <c r="H20" s="9">
        <v>0</v>
      </c>
      <c r="I20" s="9">
        <v>0</v>
      </c>
      <c r="J20" s="9">
        <v>4179</v>
      </c>
      <c r="K20" s="9">
        <v>4538</v>
      </c>
      <c r="L20" s="9">
        <v>4707</v>
      </c>
      <c r="M20" s="9">
        <v>11223</v>
      </c>
      <c r="N20" s="9">
        <v>11553</v>
      </c>
      <c r="O20" s="9">
        <v>10598</v>
      </c>
      <c r="P20" s="9">
        <v>9826</v>
      </c>
      <c r="Q20" s="423">
        <v>7521</v>
      </c>
      <c r="R20" s="423">
        <v>12553</v>
      </c>
      <c r="S20" s="423">
        <v>11317</v>
      </c>
    </row>
    <row r="21" spans="1:20" s="318" customFormat="1">
      <c r="A21" s="380" t="s">
        <v>621</v>
      </c>
      <c r="B21" s="346" t="s">
        <v>622</v>
      </c>
      <c r="C21" s="9">
        <v>0</v>
      </c>
      <c r="D21" s="9">
        <v>0</v>
      </c>
      <c r="E21" s="9">
        <v>0</v>
      </c>
      <c r="F21" s="9">
        <v>0</v>
      </c>
      <c r="G21" s="9">
        <v>163239</v>
      </c>
      <c r="H21" s="9">
        <v>174832</v>
      </c>
      <c r="I21" s="9">
        <v>189226</v>
      </c>
      <c r="J21" s="9">
        <v>201902</v>
      </c>
      <c r="K21" s="9">
        <v>205136</v>
      </c>
      <c r="L21" s="9">
        <v>194503</v>
      </c>
      <c r="M21" s="9">
        <v>197970</v>
      </c>
      <c r="N21" s="9">
        <v>204194</v>
      </c>
      <c r="O21" s="9">
        <v>195995</v>
      </c>
      <c r="P21" s="9">
        <v>199766</v>
      </c>
      <c r="Q21" s="423">
        <v>212387</v>
      </c>
      <c r="R21" s="423">
        <v>205195</v>
      </c>
      <c r="S21" s="423">
        <v>201985</v>
      </c>
    </row>
    <row r="22" spans="1:20" s="22" customFormat="1" ht="42.75">
      <c r="A22" s="377" t="s">
        <v>121</v>
      </c>
      <c r="B22" s="377" t="s">
        <v>122</v>
      </c>
      <c r="C22" s="12">
        <f t="shared" ref="C22:J22" si="22">SUM(C23:C24,C26)</f>
        <v>0</v>
      </c>
      <c r="D22" s="12">
        <f t="shared" si="22"/>
        <v>0</v>
      </c>
      <c r="E22" s="12">
        <f t="shared" si="22"/>
        <v>0</v>
      </c>
      <c r="F22" s="12">
        <f t="shared" si="22"/>
        <v>0</v>
      </c>
      <c r="G22" s="12">
        <f t="shared" si="22"/>
        <v>37319</v>
      </c>
      <c r="H22" s="12">
        <f t="shared" si="22"/>
        <v>24117</v>
      </c>
      <c r="I22" s="12">
        <f t="shared" si="22"/>
        <v>31977</v>
      </c>
      <c r="J22" s="12">
        <f t="shared" si="22"/>
        <v>41873</v>
      </c>
      <c r="K22" s="12">
        <f t="shared" ref="K22:P22" si="23">SUM(K23:K24,K26)</f>
        <v>50743</v>
      </c>
      <c r="L22" s="12">
        <f t="shared" si="23"/>
        <v>47568</v>
      </c>
      <c r="M22" s="12">
        <f t="shared" si="23"/>
        <v>33109</v>
      </c>
      <c r="N22" s="12">
        <f t="shared" si="23"/>
        <v>29054</v>
      </c>
      <c r="O22" s="12">
        <f t="shared" si="23"/>
        <v>27336</v>
      </c>
      <c r="P22" s="12">
        <f t="shared" si="23"/>
        <v>13308</v>
      </c>
      <c r="Q22" s="426">
        <f>SUM(Q23:Q24,Q26)</f>
        <v>5633</v>
      </c>
      <c r="R22" s="426">
        <f>SUM(R23:R24,R26)</f>
        <v>10266</v>
      </c>
      <c r="S22" s="426">
        <f>SUM(S23:S24,S26)</f>
        <v>3394</v>
      </c>
      <c r="T22" s="426"/>
    </row>
    <row r="23" spans="1:20">
      <c r="A23" s="346" t="s">
        <v>242</v>
      </c>
      <c r="B23" s="346" t="s">
        <v>173</v>
      </c>
      <c r="C23" s="9">
        <v>0</v>
      </c>
      <c r="D23" s="9">
        <v>0</v>
      </c>
      <c r="E23" s="9">
        <v>0</v>
      </c>
      <c r="F23" s="9">
        <v>0</v>
      </c>
      <c r="G23" s="9">
        <v>501</v>
      </c>
      <c r="H23" s="9">
        <v>510</v>
      </c>
      <c r="I23" s="9">
        <v>509</v>
      </c>
      <c r="J23" s="9">
        <v>517</v>
      </c>
      <c r="K23" s="9">
        <v>501</v>
      </c>
      <c r="L23" s="9">
        <v>510</v>
      </c>
      <c r="M23" s="9">
        <v>517</v>
      </c>
      <c r="N23" s="9">
        <v>342</v>
      </c>
      <c r="O23" s="9">
        <v>508</v>
      </c>
      <c r="P23" s="9">
        <v>396</v>
      </c>
      <c r="Q23" s="423">
        <v>223</v>
      </c>
      <c r="R23" s="423">
        <v>215</v>
      </c>
      <c r="S23" s="423">
        <v>207</v>
      </c>
    </row>
    <row r="24" spans="1:20">
      <c r="A24" s="346" t="s">
        <v>243</v>
      </c>
      <c r="B24" s="346" t="s">
        <v>175</v>
      </c>
      <c r="C24" s="9">
        <v>0</v>
      </c>
      <c r="D24" s="9">
        <v>0</v>
      </c>
      <c r="E24" s="9">
        <v>0</v>
      </c>
      <c r="F24" s="9">
        <v>0</v>
      </c>
      <c r="G24" s="9">
        <v>30956</v>
      </c>
      <c r="H24" s="9">
        <v>29256</v>
      </c>
      <c r="I24" s="9">
        <v>27811</v>
      </c>
      <c r="J24" s="9">
        <v>31531</v>
      </c>
      <c r="K24" s="9">
        <v>27342</v>
      </c>
      <c r="L24" s="9">
        <v>26279</v>
      </c>
      <c r="M24" s="9">
        <v>26623</v>
      </c>
      <c r="N24" s="9">
        <v>25497</v>
      </c>
      <c r="O24" s="9">
        <f>22878-1</f>
        <v>22877</v>
      </c>
      <c r="P24" s="9">
        <v>7954</v>
      </c>
      <c r="Q24" s="423">
        <v>4388</v>
      </c>
      <c r="R24" s="423">
        <f>-1441+8599</f>
        <v>7158</v>
      </c>
      <c r="S24" s="423">
        <v>3576</v>
      </c>
    </row>
    <row r="25" spans="1:20" s="15" customFormat="1">
      <c r="A25" s="379" t="s">
        <v>244</v>
      </c>
      <c r="B25" s="379" t="s">
        <v>256</v>
      </c>
      <c r="C25" s="14">
        <v>0</v>
      </c>
      <c r="D25" s="14">
        <v>0</v>
      </c>
      <c r="E25" s="14">
        <v>0</v>
      </c>
      <c r="F25" s="14">
        <v>0</v>
      </c>
      <c r="G25" s="14">
        <v>0</v>
      </c>
      <c r="H25" s="14">
        <v>0</v>
      </c>
      <c r="I25" s="14">
        <v>0</v>
      </c>
      <c r="J25" s="14">
        <v>0</v>
      </c>
      <c r="K25" s="14">
        <v>0</v>
      </c>
      <c r="L25" s="14">
        <v>0</v>
      </c>
      <c r="M25" s="14">
        <v>0</v>
      </c>
      <c r="N25" s="14">
        <v>0</v>
      </c>
      <c r="O25" s="14">
        <v>0</v>
      </c>
      <c r="P25" s="14">
        <v>0</v>
      </c>
      <c r="Q25" s="423">
        <v>0</v>
      </c>
      <c r="R25" s="423">
        <v>0</v>
      </c>
      <c r="S25" s="423">
        <v>0</v>
      </c>
    </row>
    <row r="26" spans="1:20">
      <c r="A26" s="380" t="s">
        <v>621</v>
      </c>
      <c r="B26" s="346" t="s">
        <v>491</v>
      </c>
      <c r="C26" s="9">
        <v>0</v>
      </c>
      <c r="D26" s="9">
        <v>0</v>
      </c>
      <c r="E26" s="9">
        <v>0</v>
      </c>
      <c r="F26" s="9">
        <v>0</v>
      </c>
      <c r="G26" s="9">
        <v>5862</v>
      </c>
      <c r="H26" s="9">
        <v>-5649</v>
      </c>
      <c r="I26" s="9">
        <v>3657</v>
      </c>
      <c r="J26" s="9">
        <v>9825</v>
      </c>
      <c r="K26" s="9">
        <v>22900</v>
      </c>
      <c r="L26" s="9">
        <v>20779</v>
      </c>
      <c r="M26" s="9">
        <v>5969</v>
      </c>
      <c r="N26" s="9">
        <v>3215</v>
      </c>
      <c r="O26" s="9">
        <v>3951</v>
      </c>
      <c r="P26" s="9">
        <v>4958</v>
      </c>
      <c r="Q26" s="423">
        <v>1022</v>
      </c>
      <c r="R26" s="423">
        <v>2893</v>
      </c>
      <c r="S26" s="423">
        <v>-389</v>
      </c>
    </row>
    <row r="27" spans="1:20" s="22" customFormat="1">
      <c r="A27" s="377" t="s">
        <v>249</v>
      </c>
      <c r="B27" s="377" t="s">
        <v>253</v>
      </c>
      <c r="C27" s="426">
        <f t="shared" ref="C27:R27" si="24">SUM(C28:C35)</f>
        <v>-305806</v>
      </c>
      <c r="D27" s="426">
        <f t="shared" si="24"/>
        <v>-318481</v>
      </c>
      <c r="E27" s="426">
        <f t="shared" si="24"/>
        <v>-322842</v>
      </c>
      <c r="F27" s="426">
        <f t="shared" si="24"/>
        <v>-305281</v>
      </c>
      <c r="G27" s="426">
        <f t="shared" si="24"/>
        <v>-298674</v>
      </c>
      <c r="H27" s="426">
        <f t="shared" si="24"/>
        <v>-340536</v>
      </c>
      <c r="I27" s="426">
        <f t="shared" si="24"/>
        <v>-383490</v>
      </c>
      <c r="J27" s="426">
        <f t="shared" si="24"/>
        <v>-448690</v>
      </c>
      <c r="K27" s="426">
        <f t="shared" si="24"/>
        <v>-473099</v>
      </c>
      <c r="L27" s="426">
        <f t="shared" si="24"/>
        <v>-492917</v>
      </c>
      <c r="M27" s="426">
        <f t="shared" si="24"/>
        <v>-465122</v>
      </c>
      <c r="N27" s="426">
        <f t="shared" si="24"/>
        <v>-450529</v>
      </c>
      <c r="O27" s="426">
        <f t="shared" si="24"/>
        <v>-413777</v>
      </c>
      <c r="P27" s="426">
        <f t="shared" si="24"/>
        <v>-299805</v>
      </c>
      <c r="Q27" s="426">
        <f t="shared" si="24"/>
        <v>-166160</v>
      </c>
      <c r="R27" s="426">
        <f t="shared" si="24"/>
        <v>-128861</v>
      </c>
      <c r="S27" s="426">
        <f>SUM(S28:S35)</f>
        <v>-115519</v>
      </c>
      <c r="T27" s="426"/>
    </row>
    <row r="28" spans="1:20">
      <c r="A28" s="346" t="s">
        <v>608</v>
      </c>
      <c r="B28" s="346" t="s">
        <v>612</v>
      </c>
      <c r="C28" s="9">
        <v>-140425</v>
      </c>
      <c r="D28" s="9">
        <v>-145984</v>
      </c>
      <c r="E28" s="9">
        <v>-142184</v>
      </c>
      <c r="F28" s="9">
        <v>-129467</v>
      </c>
      <c r="G28" s="9">
        <v>-118894</v>
      </c>
      <c r="H28" s="9">
        <v>-140819</v>
      </c>
      <c r="I28" s="9">
        <v>-163782</v>
      </c>
      <c r="J28" s="9">
        <v>-205129</v>
      </c>
      <c r="K28" s="9">
        <v>-223733</v>
      </c>
      <c r="L28" s="9">
        <v>-231345</v>
      </c>
      <c r="M28" s="9">
        <v>-198159</v>
      </c>
      <c r="N28" s="9">
        <v>-195265</v>
      </c>
      <c r="O28" s="9">
        <f>-181213</f>
        <v>-181213</v>
      </c>
      <c r="P28" s="9">
        <v>-148891</v>
      </c>
      <c r="Q28" s="423">
        <v>-68976</v>
      </c>
      <c r="R28" s="423">
        <v>-51400</v>
      </c>
      <c r="S28" s="423">
        <v>-33670</v>
      </c>
    </row>
    <row r="29" spans="1:20">
      <c r="A29" s="346" t="s">
        <v>609</v>
      </c>
      <c r="B29" s="346" t="s">
        <v>613</v>
      </c>
      <c r="C29" s="9">
        <v>-89816</v>
      </c>
      <c r="D29" s="9">
        <v>-82836</v>
      </c>
      <c r="E29" s="9">
        <v>-85502</v>
      </c>
      <c r="F29" s="9">
        <v>-84026</v>
      </c>
      <c r="G29" s="9">
        <v>-84594</v>
      </c>
      <c r="H29" s="9">
        <v>-94367</v>
      </c>
      <c r="I29" s="9">
        <v>-108436</v>
      </c>
      <c r="J29" s="9">
        <v>-118752</v>
      </c>
      <c r="K29" s="9">
        <v>-120991</v>
      </c>
      <c r="L29" s="9">
        <v>-122607</v>
      </c>
      <c r="M29" s="9">
        <v>-135182</v>
      </c>
      <c r="N29" s="9">
        <v>-136753</v>
      </c>
      <c r="O29" s="9">
        <f>-116968+1</f>
        <v>-116967</v>
      </c>
      <c r="P29" s="9">
        <v>-73075</v>
      </c>
      <c r="Q29" s="423">
        <v>-39467</v>
      </c>
      <c r="R29" s="423">
        <v>-28156</v>
      </c>
      <c r="S29" s="423">
        <v>-22214</v>
      </c>
    </row>
    <row r="30" spans="1:20" ht="28.5">
      <c r="A30" s="346" t="s">
        <v>250</v>
      </c>
      <c r="B30" s="346" t="s">
        <v>254</v>
      </c>
      <c r="C30" s="9">
        <v>-7225</v>
      </c>
      <c r="D30" s="9">
        <v>-14282</v>
      </c>
      <c r="E30" s="9">
        <v>-19250</v>
      </c>
      <c r="F30" s="9">
        <v>-13610</v>
      </c>
      <c r="G30" s="9">
        <v>-17746</v>
      </c>
      <c r="H30" s="9">
        <v>-17766</v>
      </c>
      <c r="I30" s="9">
        <v>-18853</v>
      </c>
      <c r="J30" s="9">
        <v>-27315</v>
      </c>
      <c r="K30" s="9">
        <v>-29378</v>
      </c>
      <c r="L30" s="9">
        <v>-33560</v>
      </c>
      <c r="M30" s="9">
        <v>-23616</v>
      </c>
      <c r="N30" s="9">
        <v>-10051</v>
      </c>
      <c r="O30" s="9">
        <v>-6829</v>
      </c>
      <c r="P30" s="9">
        <v>-1369</v>
      </c>
      <c r="Q30" s="423">
        <v>329</v>
      </c>
      <c r="R30" s="423">
        <v>469</v>
      </c>
      <c r="S30" s="423">
        <v>614</v>
      </c>
    </row>
    <row r="31" spans="1:20">
      <c r="A31" s="346" t="s">
        <v>610</v>
      </c>
      <c r="B31" s="346" t="s">
        <v>614</v>
      </c>
      <c r="C31" s="9">
        <v>-10913</v>
      </c>
      <c r="D31" s="9">
        <v>-14626</v>
      </c>
      <c r="E31" s="9">
        <v>-14428</v>
      </c>
      <c r="F31" s="9">
        <v>-14094</v>
      </c>
      <c r="G31" s="9">
        <v>-13305</v>
      </c>
      <c r="H31" s="9">
        <v>-16044</v>
      </c>
      <c r="I31" s="9">
        <v>-13544</v>
      </c>
      <c r="J31" s="9">
        <v>-12208</v>
      </c>
      <c r="K31" s="9">
        <v>-12924</v>
      </c>
      <c r="L31" s="9">
        <v>-15138</v>
      </c>
      <c r="M31" s="9">
        <v>-15278</v>
      </c>
      <c r="N31" s="9">
        <v>-14709</v>
      </c>
      <c r="O31" s="9">
        <v>-11898</v>
      </c>
      <c r="P31" s="9">
        <v>-5661</v>
      </c>
      <c r="Q31" s="423">
        <v>-2077</v>
      </c>
      <c r="R31" s="423">
        <v>-1277</v>
      </c>
      <c r="S31" s="423">
        <v>-781</v>
      </c>
    </row>
    <row r="32" spans="1:20">
      <c r="A32" s="346" t="s">
        <v>611</v>
      </c>
      <c r="B32" s="346" t="s">
        <v>615</v>
      </c>
      <c r="C32" s="9">
        <v>-12773</v>
      </c>
      <c r="D32" s="9">
        <v>-11739</v>
      </c>
      <c r="E32" s="9">
        <v>-10384</v>
      </c>
      <c r="F32" s="9">
        <v>-11749</v>
      </c>
      <c r="G32" s="9">
        <v>-13262</v>
      </c>
      <c r="H32" s="9">
        <v>-9675</v>
      </c>
      <c r="I32" s="9">
        <v>-14232</v>
      </c>
      <c r="J32" s="9">
        <v>-16187</v>
      </c>
      <c r="K32" s="9">
        <v>-14066</v>
      </c>
      <c r="L32" s="9">
        <v>-17696</v>
      </c>
      <c r="M32" s="9">
        <v>-18754</v>
      </c>
      <c r="N32" s="9">
        <v>-19905</v>
      </c>
      <c r="O32" s="9">
        <v>-23574</v>
      </c>
      <c r="P32" s="9">
        <v>-15662</v>
      </c>
      <c r="Q32" s="423">
        <v>-8907</v>
      </c>
      <c r="R32" s="423">
        <v>-6223</v>
      </c>
      <c r="S32" s="423">
        <v>-6361</v>
      </c>
    </row>
    <row r="33" spans="1:20">
      <c r="A33" s="346" t="s">
        <v>251</v>
      </c>
      <c r="B33" s="346" t="s">
        <v>159</v>
      </c>
      <c r="C33" s="9">
        <v>0</v>
      </c>
      <c r="D33" s="9">
        <v>0</v>
      </c>
      <c r="E33" s="9">
        <v>0</v>
      </c>
      <c r="F33" s="9">
        <v>0</v>
      </c>
      <c r="G33" s="9">
        <v>0</v>
      </c>
      <c r="H33" s="9">
        <v>0</v>
      </c>
      <c r="I33" s="9">
        <v>0</v>
      </c>
      <c r="J33" s="9"/>
      <c r="K33" s="9">
        <v>-4480</v>
      </c>
      <c r="L33" s="9">
        <v>-6272</v>
      </c>
      <c r="M33" s="9">
        <v>-5507</v>
      </c>
      <c r="N33" s="9">
        <v>-5339</v>
      </c>
      <c r="O33" s="9">
        <v>-5268</v>
      </c>
      <c r="P33" s="9">
        <v>-5023</v>
      </c>
      <c r="Q33" s="423">
        <v>-4568</v>
      </c>
      <c r="R33" s="423">
        <v>-4093</v>
      </c>
      <c r="S33" s="423">
        <v>-4190</v>
      </c>
    </row>
    <row r="34" spans="1:20" ht="28.5">
      <c r="A34" s="346" t="s">
        <v>252</v>
      </c>
      <c r="B34" s="346" t="s">
        <v>255</v>
      </c>
      <c r="C34" s="9">
        <v>-44654</v>
      </c>
      <c r="D34" s="9">
        <v>-49014</v>
      </c>
      <c r="E34" s="9">
        <v>-51094</v>
      </c>
      <c r="F34" s="9">
        <v>-52335</v>
      </c>
      <c r="G34" s="9">
        <v>-50873</v>
      </c>
      <c r="H34" s="9">
        <v>-61865</v>
      </c>
      <c r="I34" s="9">
        <v>-64643</v>
      </c>
      <c r="J34" s="9">
        <v>-69099</v>
      </c>
      <c r="K34" s="9">
        <v>-67527</v>
      </c>
      <c r="L34" s="9">
        <v>-66299</v>
      </c>
      <c r="M34" s="9">
        <v>-68626</v>
      </c>
      <c r="N34" s="9">
        <v>-68507</v>
      </c>
      <c r="O34" s="9">
        <v>-68028</v>
      </c>
      <c r="P34" s="9">
        <v>-50124</v>
      </c>
      <c r="Q34" s="423">
        <v>-42494</v>
      </c>
      <c r="R34" s="423">
        <v>-38181</v>
      </c>
      <c r="S34" s="423">
        <v>-37162</v>
      </c>
    </row>
    <row r="35" spans="1:20">
      <c r="A35" s="482" t="s">
        <v>247</v>
      </c>
      <c r="B35" s="482" t="s">
        <v>259</v>
      </c>
      <c r="C35" s="483">
        <v>0</v>
      </c>
      <c r="D35" s="483">
        <v>0</v>
      </c>
      <c r="E35" s="483">
        <v>0</v>
      </c>
      <c r="F35" s="483">
        <v>0</v>
      </c>
      <c r="G35" s="483">
        <v>0</v>
      </c>
      <c r="H35" s="483">
        <v>0</v>
      </c>
      <c r="I35" s="483">
        <v>0</v>
      </c>
      <c r="J35" s="483">
        <v>0</v>
      </c>
      <c r="K35" s="483">
        <v>0</v>
      </c>
      <c r="L35" s="483">
        <v>0</v>
      </c>
      <c r="M35" s="483">
        <v>0</v>
      </c>
      <c r="N35" s="483">
        <v>0</v>
      </c>
      <c r="O35" s="483">
        <v>0</v>
      </c>
      <c r="P35" s="483">
        <v>0</v>
      </c>
      <c r="Q35" s="483">
        <v>0</v>
      </c>
      <c r="R35" s="483">
        <v>0</v>
      </c>
      <c r="S35" s="483">
        <v>-11755</v>
      </c>
    </row>
    <row r="36" spans="1:20" s="22" customFormat="1">
      <c r="A36" s="381" t="s">
        <v>89</v>
      </c>
      <c r="B36" s="381" t="s">
        <v>1</v>
      </c>
      <c r="C36" s="255">
        <f t="shared" ref="C36:P36" si="25">C2+C27</f>
        <v>1253996</v>
      </c>
      <c r="D36" s="255">
        <f t="shared" si="25"/>
        <v>1302487</v>
      </c>
      <c r="E36" s="255">
        <f t="shared" si="25"/>
        <v>1340966</v>
      </c>
      <c r="F36" s="255">
        <f t="shared" si="25"/>
        <v>1379448</v>
      </c>
      <c r="G36" s="255">
        <f t="shared" si="25"/>
        <v>1389827</v>
      </c>
      <c r="H36" s="255">
        <f t="shared" si="25"/>
        <v>1396207</v>
      </c>
      <c r="I36" s="255">
        <f t="shared" si="25"/>
        <v>1422219</v>
      </c>
      <c r="J36" s="255">
        <f t="shared" si="25"/>
        <v>1534153</v>
      </c>
      <c r="K36" s="255">
        <f t="shared" si="25"/>
        <v>1608600</v>
      </c>
      <c r="L36" s="255">
        <f t="shared" si="25"/>
        <v>1623532</v>
      </c>
      <c r="M36" s="255">
        <f t="shared" si="25"/>
        <v>1701034</v>
      </c>
      <c r="N36" s="255">
        <f t="shared" si="25"/>
        <v>1647003</v>
      </c>
      <c r="O36" s="255">
        <f t="shared" si="25"/>
        <v>1636313</v>
      </c>
      <c r="P36" s="255">
        <f t="shared" si="25"/>
        <v>1458435</v>
      </c>
      <c r="Q36" s="427">
        <f>Q2+Q27</f>
        <v>1382682</v>
      </c>
      <c r="R36" s="427">
        <f>R2+R27</f>
        <v>1410719</v>
      </c>
      <c r="S36" s="427">
        <f>S2+S27</f>
        <v>1376958</v>
      </c>
      <c r="T36" s="463"/>
    </row>
    <row r="37" spans="1:20">
      <c r="Q37" s="428"/>
      <c r="R37" s="428"/>
      <c r="S37" s="428"/>
    </row>
    <row r="38" spans="1:20">
      <c r="Q38" s="428"/>
      <c r="R38" s="428"/>
      <c r="S38" s="428"/>
    </row>
    <row r="39" spans="1:20">
      <c r="Q39" s="428"/>
      <c r="R39" s="428"/>
      <c r="S39" s="428"/>
    </row>
    <row r="40" spans="1:20">
      <c r="Q40" s="428"/>
      <c r="R40" s="428"/>
      <c r="S40" s="428"/>
    </row>
    <row r="41" spans="1:20">
      <c r="Q41" s="428"/>
      <c r="R41" s="428"/>
      <c r="S41" s="428"/>
    </row>
    <row r="42" spans="1:20">
      <c r="R42" s="419"/>
      <c r="S42" s="419"/>
    </row>
  </sheetData>
  <customSheetViews>
    <customSheetView guid="{2A0EA35A-7F53-4AD8-895C-C234D094A4A4}">
      <pane xSplit="2" ySplit="1" topLeftCell="J2" activePane="bottomRight" state="frozen"/>
      <selection pane="bottomRight" activeCell="M14" sqref="M14"/>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899D69CD-4B7E-42BC-9944-5BD922EB798C}" topLeftCell="I1">
      <selection activeCell="R14" sqref="R14"/>
      <pageMargins left="0.7" right="0.7" top="0.75" bottom="0.75" header="0.3" footer="0.3"/>
    </customSheetView>
    <customSheetView guid="{25FAB884-5E17-4008-8139-33D910C7DEFE}">
      <selection activeCell="A40" sqref="A40:XFD40"/>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687A4863-1825-4D63-B732-E76682E6DE4F}" scale="66">
      <selection activeCell="A36" sqref="A36:XFD44"/>
      <pageMargins left="0.7" right="0.7" top="0.75" bottom="0.75" header="0.3" footer="0.3"/>
    </customSheetView>
    <customSheetView guid="{9AF4A83C-CF57-4B40-8A74-6A0EA6C2FE5C}">
      <pane xSplit="2" ySplit="1" topLeftCell="J2" activePane="bottomRight" state="frozen"/>
      <selection pane="bottomRight" activeCell="K12" sqref="K12"/>
      <pageMargins left="0.7" right="0.7" top="0.75" bottom="0.75" header="0.3" footer="0.3"/>
    </customSheetView>
    <customSheetView guid="{12F8D032-8143-430B-8DFF-852E8796C402}">
      <selection activeCell="C16" sqref="C16"/>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68"/>
  <sheetViews>
    <sheetView showGridLines="0" showRuler="0" zoomScale="70" zoomScaleNormal="58" workbookViewId="0">
      <selection activeCell="B81" sqref="B81"/>
    </sheetView>
  </sheetViews>
  <sheetFormatPr defaultColWidth="9.140625" defaultRowHeight="12" customHeight="1"/>
  <cols>
    <col min="1" max="1" width="50.85546875" style="6" customWidth="1"/>
    <col min="2" max="2" width="66.140625" style="6" customWidth="1"/>
    <col min="3" max="10" width="13.42578125" style="6" customWidth="1"/>
    <col min="11" max="11" width="13.42578125" style="318" customWidth="1"/>
    <col min="12" max="12" width="13.42578125" style="6" customWidth="1"/>
    <col min="13" max="13" width="10.5703125" style="6" customWidth="1"/>
    <col min="14" max="14" width="16.85546875" style="6" customWidth="1"/>
    <col min="15" max="19" width="13.42578125" style="6" customWidth="1"/>
    <col min="20" max="16384" width="9.140625" style="6"/>
  </cols>
  <sheetData>
    <row r="1" spans="1:19" ht="15" customHeight="1" thickBot="1">
      <c r="C1" s="382"/>
      <c r="D1" s="382"/>
      <c r="E1" s="382"/>
      <c r="F1" s="382"/>
      <c r="G1" s="382"/>
      <c r="H1" s="382"/>
      <c r="I1" s="382"/>
      <c r="J1" s="382"/>
      <c r="K1" s="382"/>
      <c r="L1" s="382"/>
      <c r="M1" s="382"/>
      <c r="N1" s="382"/>
      <c r="O1" s="382"/>
      <c r="P1" s="382"/>
      <c r="Q1" s="382"/>
      <c r="R1" s="382"/>
      <c r="S1" s="382"/>
    </row>
    <row r="2" spans="1:19" ht="15" customHeight="1" thickBot="1">
      <c r="A2" s="369" t="s">
        <v>90</v>
      </c>
      <c r="B2" s="369" t="s">
        <v>2</v>
      </c>
      <c r="C2" s="382" t="s">
        <v>188</v>
      </c>
      <c r="D2" s="382" t="s">
        <v>189</v>
      </c>
      <c r="E2" s="382" t="s">
        <v>190</v>
      </c>
      <c r="F2" s="382" t="s">
        <v>191</v>
      </c>
      <c r="G2" s="382" t="s">
        <v>192</v>
      </c>
      <c r="H2" s="382" t="s">
        <v>193</v>
      </c>
      <c r="I2" s="382" t="s">
        <v>194</v>
      </c>
      <c r="J2" s="382" t="s">
        <v>195</v>
      </c>
      <c r="K2" s="382" t="s">
        <v>196</v>
      </c>
      <c r="L2" s="382" t="s">
        <v>197</v>
      </c>
      <c r="M2" s="382" t="s">
        <v>594</v>
      </c>
      <c r="N2" s="382" t="s">
        <v>603</v>
      </c>
      <c r="O2" s="382" t="s">
        <v>638</v>
      </c>
      <c r="P2" s="382" t="s">
        <v>642</v>
      </c>
      <c r="Q2" s="382" t="s">
        <v>651</v>
      </c>
      <c r="R2" s="382" t="s">
        <v>662</v>
      </c>
      <c r="S2" s="382" t="s">
        <v>672</v>
      </c>
    </row>
    <row r="3" spans="1:19" ht="15" customHeight="1">
      <c r="A3" s="383" t="s">
        <v>198</v>
      </c>
      <c r="B3" s="383" t="s">
        <v>199</v>
      </c>
      <c r="C3" s="384">
        <v>83361</v>
      </c>
      <c r="D3" s="384">
        <v>85518</v>
      </c>
      <c r="E3" s="384">
        <v>83848</v>
      </c>
      <c r="F3" s="384">
        <v>85579</v>
      </c>
      <c r="G3" s="384">
        <v>81499</v>
      </c>
      <c r="H3" s="384">
        <v>80399</v>
      </c>
      <c r="I3" s="384">
        <v>78480</v>
      </c>
      <c r="J3" s="384">
        <v>82879</v>
      </c>
      <c r="K3" s="384">
        <v>81089</v>
      </c>
      <c r="L3" s="384">
        <v>81656</v>
      </c>
      <c r="M3" s="384">
        <v>82570</v>
      </c>
      <c r="N3" s="384">
        <v>81656</v>
      </c>
      <c r="O3" s="384">
        <v>79707</v>
      </c>
      <c r="P3" s="384">
        <v>73557</v>
      </c>
      <c r="Q3" s="384">
        <v>78479</v>
      </c>
      <c r="R3" s="384">
        <v>80906</v>
      </c>
      <c r="S3" s="384">
        <v>97970</v>
      </c>
    </row>
    <row r="4" spans="1:19" ht="15" customHeight="1">
      <c r="A4" s="385" t="s">
        <v>574</v>
      </c>
      <c r="B4" s="385" t="s">
        <v>575</v>
      </c>
      <c r="C4" s="384">
        <f>72258+5982</f>
        <v>78240</v>
      </c>
      <c r="D4" s="384">
        <f>77780+4018</f>
        <v>81798</v>
      </c>
      <c r="E4" s="384">
        <f>82910+4224</f>
        <v>87134</v>
      </c>
      <c r="F4" s="384">
        <f>83177+6015</f>
        <v>89192</v>
      </c>
      <c r="G4" s="384">
        <f>80684+3733</f>
        <v>84417</v>
      </c>
      <c r="H4" s="384">
        <f>91124+3777</f>
        <v>94901</v>
      </c>
      <c r="I4" s="384">
        <f>90513+4213</f>
        <v>94726</v>
      </c>
      <c r="J4" s="384">
        <f>104858+5981</f>
        <v>110839</v>
      </c>
      <c r="K4" s="384">
        <f>96816+3890</f>
        <v>100706</v>
      </c>
      <c r="L4" s="384">
        <v>99012</v>
      </c>
      <c r="M4" s="384">
        <v>102697</v>
      </c>
      <c r="N4" s="384">
        <v>122720</v>
      </c>
      <c r="O4" s="384">
        <v>93088</v>
      </c>
      <c r="P4" s="384">
        <v>97888</v>
      </c>
      <c r="Q4" s="384">
        <v>109844</v>
      </c>
      <c r="R4" s="384">
        <v>104398</v>
      </c>
      <c r="S4" s="384">
        <v>113117</v>
      </c>
    </row>
    <row r="5" spans="1:19" ht="15" customHeight="1">
      <c r="A5" s="383" t="s">
        <v>200</v>
      </c>
      <c r="B5" s="383" t="s">
        <v>201</v>
      </c>
      <c r="C5" s="384">
        <v>12788</v>
      </c>
      <c r="D5" s="384">
        <v>11831</v>
      </c>
      <c r="E5" s="384">
        <v>16345</v>
      </c>
      <c r="F5" s="384">
        <v>19339</v>
      </c>
      <c r="G5" s="384">
        <v>14821</v>
      </c>
      <c r="H5" s="384">
        <v>14935</v>
      </c>
      <c r="I5" s="384">
        <v>14740</v>
      </c>
      <c r="J5" s="384">
        <v>26026</v>
      </c>
      <c r="K5" s="384">
        <v>17391</v>
      </c>
      <c r="L5" s="384">
        <v>16853</v>
      </c>
      <c r="M5" s="384">
        <v>17837</v>
      </c>
      <c r="N5" s="384">
        <v>20337</v>
      </c>
      <c r="O5" s="384">
        <v>23810</v>
      </c>
      <c r="P5" s="384">
        <v>18452</v>
      </c>
      <c r="Q5" s="384">
        <v>23531</v>
      </c>
      <c r="R5" s="384">
        <v>26188</v>
      </c>
      <c r="S5" s="384">
        <v>26049</v>
      </c>
    </row>
    <row r="6" spans="1:19" ht="15" customHeight="1">
      <c r="A6" s="383" t="s">
        <v>202</v>
      </c>
      <c r="B6" s="383" t="s">
        <v>203</v>
      </c>
      <c r="C6" s="384">
        <v>78131</v>
      </c>
      <c r="D6" s="384">
        <v>84907</v>
      </c>
      <c r="E6" s="384">
        <v>91823</v>
      </c>
      <c r="F6" s="384">
        <v>91195</v>
      </c>
      <c r="G6" s="384">
        <v>89091</v>
      </c>
      <c r="H6" s="384">
        <v>100549</v>
      </c>
      <c r="I6" s="384">
        <v>96500</v>
      </c>
      <c r="J6" s="384">
        <v>109843</v>
      </c>
      <c r="K6" s="384">
        <v>106851</v>
      </c>
      <c r="L6" s="384">
        <v>113794</v>
      </c>
      <c r="M6" s="384">
        <v>111614</v>
      </c>
      <c r="N6" s="384">
        <v>110458</v>
      </c>
      <c r="O6" s="384">
        <v>121539</v>
      </c>
      <c r="P6" s="384">
        <v>104174</v>
      </c>
      <c r="Q6" s="384">
        <v>116339</v>
      </c>
      <c r="R6" s="384">
        <v>126765</v>
      </c>
      <c r="S6" s="384">
        <v>119814</v>
      </c>
    </row>
    <row r="7" spans="1:19" ht="15" customHeight="1">
      <c r="A7" s="383" t="s">
        <v>204</v>
      </c>
      <c r="B7" s="383" t="s">
        <v>581</v>
      </c>
      <c r="C7" s="384">
        <v>127034</v>
      </c>
      <c r="D7" s="384">
        <v>132475</v>
      </c>
      <c r="E7" s="384">
        <v>162421</v>
      </c>
      <c r="F7" s="384">
        <v>155065</v>
      </c>
      <c r="G7" s="384">
        <v>133257</v>
      </c>
      <c r="H7" s="384">
        <v>155297</v>
      </c>
      <c r="I7" s="384">
        <v>136358</v>
      </c>
      <c r="J7" s="384">
        <v>149784</v>
      </c>
      <c r="K7" s="384">
        <v>135129</v>
      </c>
      <c r="L7" s="384">
        <v>155393</v>
      </c>
      <c r="M7" s="384">
        <v>143895</v>
      </c>
      <c r="N7" s="384">
        <v>141362</v>
      </c>
      <c r="O7" s="384">
        <v>132181</v>
      </c>
      <c r="P7" s="384">
        <v>125784</v>
      </c>
      <c r="Q7" s="384">
        <v>148471</v>
      </c>
      <c r="R7" s="384">
        <v>155131</v>
      </c>
      <c r="S7" s="384">
        <v>143697</v>
      </c>
    </row>
    <row r="8" spans="1:19" ht="15" customHeight="1">
      <c r="A8" s="383" t="s">
        <v>206</v>
      </c>
      <c r="B8" s="383" t="s">
        <v>207</v>
      </c>
      <c r="C8" s="384">
        <v>40029</v>
      </c>
      <c r="D8" s="384">
        <v>42160</v>
      </c>
      <c r="E8" s="384">
        <v>42806</v>
      </c>
      <c r="F8" s="384">
        <v>44553</v>
      </c>
      <c r="G8" s="384">
        <v>43118</v>
      </c>
      <c r="H8" s="384">
        <v>42142</v>
      </c>
      <c r="I8" s="384">
        <v>42153</v>
      </c>
      <c r="J8" s="384">
        <v>46848</v>
      </c>
      <c r="K8" s="384">
        <v>44401</v>
      </c>
      <c r="L8" s="384">
        <v>45249</v>
      </c>
      <c r="M8" s="384">
        <v>46451</v>
      </c>
      <c r="N8" s="384">
        <v>49578</v>
      </c>
      <c r="O8" s="384">
        <v>34740</v>
      </c>
      <c r="P8" s="384">
        <v>39290</v>
      </c>
      <c r="Q8" s="384">
        <v>36757</v>
      </c>
      <c r="R8" s="384">
        <v>38163</v>
      </c>
      <c r="S8" s="384">
        <v>35343</v>
      </c>
    </row>
    <row r="9" spans="1:19" ht="15" customHeight="1">
      <c r="A9" s="383" t="s">
        <v>56</v>
      </c>
      <c r="B9" s="383" t="s">
        <v>44</v>
      </c>
      <c r="C9" s="384">
        <v>3856</v>
      </c>
      <c r="D9" s="384">
        <v>3042</v>
      </c>
      <c r="E9" s="384">
        <v>1626</v>
      </c>
      <c r="F9" s="384">
        <v>1206</v>
      </c>
      <c r="G9" s="384">
        <v>863</v>
      </c>
      <c r="H9" s="384">
        <v>683</v>
      </c>
      <c r="I9" s="384">
        <v>272</v>
      </c>
      <c r="J9" s="384">
        <v>2973</v>
      </c>
      <c r="K9" s="384">
        <v>1713</v>
      </c>
      <c r="L9" s="384">
        <v>1439</v>
      </c>
      <c r="M9" s="384">
        <v>1390</v>
      </c>
      <c r="N9" s="384">
        <v>16407</v>
      </c>
      <c r="O9" s="384">
        <v>4245</v>
      </c>
      <c r="P9" s="384">
        <v>3098</v>
      </c>
      <c r="Q9" s="384">
        <v>4395</v>
      </c>
      <c r="R9" s="384">
        <v>4393</v>
      </c>
      <c r="S9" s="384">
        <v>4726</v>
      </c>
    </row>
    <row r="10" spans="1:19" ht="15" customHeight="1">
      <c r="A10" s="383" t="s">
        <v>208</v>
      </c>
      <c r="B10" s="383" t="s">
        <v>209</v>
      </c>
      <c r="C10" s="384">
        <v>69065</v>
      </c>
      <c r="D10" s="384">
        <v>74900</v>
      </c>
      <c r="E10" s="384">
        <v>79928</v>
      </c>
      <c r="F10" s="384">
        <v>82582</v>
      </c>
      <c r="G10" s="384">
        <v>81201</v>
      </c>
      <c r="H10" s="384">
        <v>79986</v>
      </c>
      <c r="I10" s="384">
        <v>77014</v>
      </c>
      <c r="J10" s="384">
        <v>72176</v>
      </c>
      <c r="K10" s="384">
        <v>67785</v>
      </c>
      <c r="L10" s="384">
        <v>69875</v>
      </c>
      <c r="M10" s="384">
        <v>72832</v>
      </c>
      <c r="N10" s="384">
        <v>74557</v>
      </c>
      <c r="O10" s="384">
        <v>70263</v>
      </c>
      <c r="P10" s="384">
        <v>52775</v>
      </c>
      <c r="Q10" s="384">
        <v>60320</v>
      </c>
      <c r="R10" s="384">
        <v>64741</v>
      </c>
      <c r="S10" s="384">
        <v>67122</v>
      </c>
    </row>
    <row r="11" spans="1:19" ht="15" customHeight="1">
      <c r="A11" s="383" t="s">
        <v>57</v>
      </c>
      <c r="B11" s="383" t="s">
        <v>210</v>
      </c>
      <c r="C11" s="384">
        <v>51481</v>
      </c>
      <c r="D11" s="384">
        <v>56656</v>
      </c>
      <c r="E11" s="384">
        <v>54544</v>
      </c>
      <c r="F11" s="384">
        <v>50891</v>
      </c>
      <c r="G11" s="384">
        <v>50144</v>
      </c>
      <c r="H11" s="384">
        <v>54189</v>
      </c>
      <c r="I11" s="384">
        <v>47318</v>
      </c>
      <c r="J11" s="384">
        <v>39261</v>
      </c>
      <c r="K11" s="384">
        <v>48711</v>
      </c>
      <c r="L11" s="384">
        <v>57827</v>
      </c>
      <c r="M11" s="384">
        <v>57861</v>
      </c>
      <c r="N11" s="384">
        <v>58128</v>
      </c>
      <c r="O11" s="384">
        <v>60310</v>
      </c>
      <c r="P11" s="384">
        <v>48450</v>
      </c>
      <c r="Q11" s="384">
        <v>57028</v>
      </c>
      <c r="R11" s="384">
        <v>54771</v>
      </c>
      <c r="S11" s="384">
        <v>53466</v>
      </c>
    </row>
    <row r="12" spans="1:19" ht="15" customHeight="1">
      <c r="A12" s="383" t="s">
        <v>114</v>
      </c>
      <c r="B12" s="383" t="s">
        <v>113</v>
      </c>
      <c r="C12" s="384">
        <v>22069</v>
      </c>
      <c r="D12" s="384">
        <v>22670</v>
      </c>
      <c r="E12" s="384">
        <v>26344</v>
      </c>
      <c r="F12" s="384">
        <v>17046</v>
      </c>
      <c r="G12" s="384">
        <v>18132</v>
      </c>
      <c r="H12" s="384">
        <v>19072</v>
      </c>
      <c r="I12" s="384">
        <v>14722</v>
      </c>
      <c r="J12" s="384">
        <v>16524</v>
      </c>
      <c r="K12" s="384">
        <v>18716</v>
      </c>
      <c r="L12" s="384">
        <v>13005</v>
      </c>
      <c r="M12" s="384">
        <v>16001</v>
      </c>
      <c r="N12" s="384">
        <v>11908</v>
      </c>
      <c r="O12" s="384">
        <v>28275</v>
      </c>
      <c r="P12" s="384">
        <v>34127</v>
      </c>
      <c r="Q12" s="384">
        <v>27202</v>
      </c>
      <c r="R12" s="384">
        <v>41785</v>
      </c>
      <c r="S12" s="384">
        <v>44790</v>
      </c>
    </row>
    <row r="13" spans="1:19" ht="15" customHeight="1">
      <c r="A13" s="383" t="s">
        <v>211</v>
      </c>
      <c r="B13" s="383" t="s">
        <v>212</v>
      </c>
      <c r="C13" s="384">
        <v>3974</v>
      </c>
      <c r="D13" s="384">
        <v>4117</v>
      </c>
      <c r="E13" s="384">
        <v>3720</v>
      </c>
      <c r="F13" s="384">
        <v>4417</v>
      </c>
      <c r="G13" s="384">
        <v>4372</v>
      </c>
      <c r="H13" s="384">
        <v>4647</v>
      </c>
      <c r="I13" s="384">
        <v>5021</v>
      </c>
      <c r="J13" s="384">
        <v>5877</v>
      </c>
      <c r="K13" s="384">
        <v>6277</v>
      </c>
      <c r="L13" s="384">
        <v>5998</v>
      </c>
      <c r="M13" s="384">
        <v>6576</v>
      </c>
      <c r="N13" s="384">
        <v>5780</v>
      </c>
      <c r="O13" s="384">
        <v>6455</v>
      </c>
      <c r="P13" s="384">
        <v>5082</v>
      </c>
      <c r="Q13" s="384">
        <v>5750</v>
      </c>
      <c r="R13" s="384">
        <v>5590</v>
      </c>
      <c r="S13" s="384">
        <v>6012</v>
      </c>
    </row>
    <row r="14" spans="1:19" ht="15" customHeight="1">
      <c r="A14" s="383" t="s">
        <v>213</v>
      </c>
      <c r="B14" s="383" t="s">
        <v>214</v>
      </c>
      <c r="C14" s="384">
        <v>997</v>
      </c>
      <c r="D14" s="384">
        <v>7807</v>
      </c>
      <c r="E14" s="384">
        <v>3951</v>
      </c>
      <c r="F14" s="384">
        <v>1747</v>
      </c>
      <c r="G14" s="384">
        <v>3058</v>
      </c>
      <c r="H14" s="384">
        <v>2827</v>
      </c>
      <c r="I14" s="384">
        <v>1438</v>
      </c>
      <c r="J14" s="384">
        <v>1200</v>
      </c>
      <c r="K14" s="384">
        <v>1034</v>
      </c>
      <c r="L14" s="384">
        <v>964</v>
      </c>
      <c r="M14" s="384">
        <v>2505</v>
      </c>
      <c r="N14" s="384">
        <v>2061</v>
      </c>
      <c r="O14" s="384">
        <v>7222</v>
      </c>
      <c r="P14" s="384">
        <v>958</v>
      </c>
      <c r="Q14" s="384">
        <v>638</v>
      </c>
      <c r="R14" s="384">
        <v>1751</v>
      </c>
      <c r="S14" s="384">
        <v>5387</v>
      </c>
    </row>
    <row r="15" spans="1:19" s="318" customFormat="1" ht="15" customHeight="1">
      <c r="A15" s="386"/>
      <c r="B15" s="386" t="s">
        <v>43</v>
      </c>
      <c r="C15" s="387">
        <f t="shared" ref="C15:S15" si="0">SUM(C3:C7,C8:C14)</f>
        <v>571025</v>
      </c>
      <c r="D15" s="387">
        <f t="shared" si="0"/>
        <v>607881</v>
      </c>
      <c r="E15" s="387">
        <f t="shared" si="0"/>
        <v>654490</v>
      </c>
      <c r="F15" s="387">
        <f t="shared" si="0"/>
        <v>642812</v>
      </c>
      <c r="G15" s="387">
        <f t="shared" si="0"/>
        <v>603973</v>
      </c>
      <c r="H15" s="387">
        <f t="shared" si="0"/>
        <v>649627</v>
      </c>
      <c r="I15" s="387">
        <f t="shared" si="0"/>
        <v>608742</v>
      </c>
      <c r="J15" s="387">
        <f t="shared" si="0"/>
        <v>664230</v>
      </c>
      <c r="K15" s="387">
        <f t="shared" si="0"/>
        <v>629803</v>
      </c>
      <c r="L15" s="387">
        <f t="shared" si="0"/>
        <v>661065</v>
      </c>
      <c r="M15" s="387">
        <f t="shared" si="0"/>
        <v>662229</v>
      </c>
      <c r="N15" s="387">
        <f t="shared" si="0"/>
        <v>694952</v>
      </c>
      <c r="O15" s="387">
        <f t="shared" si="0"/>
        <v>661835</v>
      </c>
      <c r="P15" s="387">
        <f t="shared" si="0"/>
        <v>603635</v>
      </c>
      <c r="Q15" s="387">
        <f t="shared" si="0"/>
        <v>668754</v>
      </c>
      <c r="R15" s="387">
        <f t="shared" si="0"/>
        <v>704582</v>
      </c>
      <c r="S15" s="387">
        <f t="shared" si="0"/>
        <v>717493</v>
      </c>
    </row>
    <row r="16" spans="1:19" ht="18.75" customHeight="1" thickBot="1">
      <c r="A16" s="388" t="s">
        <v>91</v>
      </c>
      <c r="B16" s="388" t="s">
        <v>217</v>
      </c>
      <c r="C16" s="382"/>
      <c r="D16" s="382"/>
      <c r="E16" s="382"/>
      <c r="F16" s="382"/>
      <c r="G16" s="382"/>
      <c r="H16" s="382"/>
      <c r="I16" s="382"/>
      <c r="J16" s="382"/>
      <c r="K16" s="382"/>
      <c r="L16" s="382"/>
      <c r="M16" s="389"/>
      <c r="N16" s="389"/>
      <c r="O16" s="389"/>
      <c r="P16" s="389"/>
      <c r="Q16" s="389"/>
      <c r="R16" s="389"/>
      <c r="S16" s="389"/>
    </row>
    <row r="17" spans="1:25" ht="15" customHeight="1">
      <c r="A17" s="383" t="s">
        <v>218</v>
      </c>
      <c r="B17" s="383" t="s">
        <v>199</v>
      </c>
      <c r="C17" s="384">
        <v>-195</v>
      </c>
      <c r="D17" s="384">
        <v>-165</v>
      </c>
      <c r="E17" s="384">
        <v>-150</v>
      </c>
      <c r="F17" s="384">
        <v>-175</v>
      </c>
      <c r="G17" s="384">
        <v>-185</v>
      </c>
      <c r="H17" s="384">
        <v>-370</v>
      </c>
      <c r="I17" s="384">
        <v>-2809</v>
      </c>
      <c r="J17" s="384">
        <v>-2450</v>
      </c>
      <c r="K17" s="384">
        <v>-241</v>
      </c>
      <c r="L17" s="384">
        <v>-281</v>
      </c>
      <c r="M17" s="384">
        <v>-861</v>
      </c>
      <c r="N17" s="384">
        <v>-984</v>
      </c>
      <c r="O17" s="384">
        <v>-709</v>
      </c>
      <c r="P17" s="384">
        <v>-530</v>
      </c>
      <c r="Q17" s="384">
        <v>-1042</v>
      </c>
      <c r="R17" s="384">
        <v>-1193</v>
      </c>
      <c r="S17" s="384">
        <v>-1233</v>
      </c>
    </row>
    <row r="18" spans="1:25" ht="15" customHeight="1">
      <c r="A18" s="383" t="s">
        <v>219</v>
      </c>
      <c r="B18" s="383" t="s">
        <v>220</v>
      </c>
      <c r="C18" s="384">
        <v>-19307</v>
      </c>
      <c r="D18" s="384">
        <v>-31097</v>
      </c>
      <c r="E18" s="384">
        <v>-20120</v>
      </c>
      <c r="F18" s="384">
        <v>-27811</v>
      </c>
      <c r="G18" s="384">
        <v>-11773</v>
      </c>
      <c r="H18" s="384">
        <v>-20883</v>
      </c>
      <c r="I18" s="384">
        <v>-12654</v>
      </c>
      <c r="J18" s="384">
        <v>-68176</v>
      </c>
      <c r="K18" s="384">
        <v>-22419</v>
      </c>
      <c r="L18" s="384">
        <v>-34245</v>
      </c>
      <c r="M18" s="384">
        <v>-26283</v>
      </c>
      <c r="N18" s="384">
        <v>-33782</v>
      </c>
      <c r="O18" s="384">
        <v>-28684</v>
      </c>
      <c r="P18" s="384">
        <v>-16229</v>
      </c>
      <c r="Q18" s="384">
        <v>-8599</v>
      </c>
      <c r="R18" s="384">
        <v>-23582</v>
      </c>
      <c r="S18" s="384">
        <v>-16178</v>
      </c>
    </row>
    <row r="19" spans="1:25" ht="15" customHeight="1">
      <c r="A19" s="383" t="s">
        <v>200</v>
      </c>
      <c r="B19" s="383" t="s">
        <v>201</v>
      </c>
      <c r="C19" s="384">
        <v>-564</v>
      </c>
      <c r="D19" s="384">
        <v>-639</v>
      </c>
      <c r="E19" s="384">
        <v>-590</v>
      </c>
      <c r="F19" s="384">
        <f>-3198-C19-D19-E19</f>
        <v>-1405</v>
      </c>
      <c r="G19" s="384">
        <v>-608</v>
      </c>
      <c r="H19" s="384">
        <f>-2399-G19</f>
        <v>-1791</v>
      </c>
      <c r="I19" s="384">
        <f>-4476-G19-H19</f>
        <v>-2077</v>
      </c>
      <c r="J19" s="384">
        <f>-8918-G19-H19-I19</f>
        <v>-4442</v>
      </c>
      <c r="K19" s="384">
        <v>-2899</v>
      </c>
      <c r="L19" s="384">
        <v>-3858</v>
      </c>
      <c r="M19" s="384">
        <v>-1791</v>
      </c>
      <c r="N19" s="384">
        <v>-18136</v>
      </c>
      <c r="O19" s="384">
        <v>-13198</v>
      </c>
      <c r="P19" s="384">
        <v>-12733</v>
      </c>
      <c r="Q19" s="384">
        <v>-15759</v>
      </c>
      <c r="R19" s="384">
        <v>-13887</v>
      </c>
      <c r="S19" s="384">
        <v>-15020</v>
      </c>
    </row>
    <row r="20" spans="1:25" ht="15" customHeight="1">
      <c r="A20" s="383" t="s">
        <v>204</v>
      </c>
      <c r="B20" s="383" t="s">
        <v>581</v>
      </c>
      <c r="C20" s="384">
        <v>-38585</v>
      </c>
      <c r="D20" s="384">
        <v>-40082</v>
      </c>
      <c r="E20" s="384">
        <v>-69396</v>
      </c>
      <c r="F20" s="384">
        <v>-56238</v>
      </c>
      <c r="G20" s="384">
        <v>-38851</v>
      </c>
      <c r="H20" s="384">
        <v>-59617</v>
      </c>
      <c r="I20" s="384">
        <v>-39434</v>
      </c>
      <c r="J20" s="384">
        <v>-50360</v>
      </c>
      <c r="K20" s="384">
        <v>-40656</v>
      </c>
      <c r="L20" s="384">
        <v>-57297</v>
      </c>
      <c r="M20" s="384">
        <v>-43102</v>
      </c>
      <c r="N20" s="384">
        <v>-46809</v>
      </c>
      <c r="O20" s="384">
        <v>-43280</v>
      </c>
      <c r="P20" s="384">
        <v>-40369</v>
      </c>
      <c r="Q20" s="384">
        <v>-48599</v>
      </c>
      <c r="R20" s="384">
        <v>-46818</v>
      </c>
      <c r="S20" s="384">
        <v>-33659</v>
      </c>
    </row>
    <row r="21" spans="1:25" ht="15" customHeight="1">
      <c r="A21" s="383" t="s">
        <v>206</v>
      </c>
      <c r="B21" s="383" t="s">
        <v>207</v>
      </c>
      <c r="C21" s="384">
        <v>-8923</v>
      </c>
      <c r="D21" s="384">
        <v>-9623</v>
      </c>
      <c r="E21" s="384">
        <v>-5523</v>
      </c>
      <c r="F21" s="384">
        <v>-9193</v>
      </c>
      <c r="G21" s="384">
        <v>-8707</v>
      </c>
      <c r="H21" s="384">
        <v>-10189</v>
      </c>
      <c r="I21" s="384">
        <v>-9230</v>
      </c>
      <c r="J21" s="384">
        <v>-10451</v>
      </c>
      <c r="K21" s="384">
        <v>-9122</v>
      </c>
      <c r="L21" s="384">
        <v>-10125</v>
      </c>
      <c r="M21" s="384">
        <v>-10119</v>
      </c>
      <c r="N21" s="384">
        <v>-10530</v>
      </c>
      <c r="O21" s="384">
        <v>-1522</v>
      </c>
      <c r="P21" s="384">
        <v>-6983</v>
      </c>
      <c r="Q21" s="384">
        <v>-6302</v>
      </c>
      <c r="R21" s="384">
        <v>-4183</v>
      </c>
      <c r="S21" s="384">
        <v>-3019</v>
      </c>
    </row>
    <row r="22" spans="1:25" ht="15" customHeight="1">
      <c r="A22" s="383" t="s">
        <v>114</v>
      </c>
      <c r="B22" s="383" t="s">
        <v>113</v>
      </c>
      <c r="C22" s="384">
        <v>-3172</v>
      </c>
      <c r="D22" s="384">
        <v>-2739</v>
      </c>
      <c r="E22" s="384">
        <v>-2616</v>
      </c>
      <c r="F22" s="384">
        <v>-2648</v>
      </c>
      <c r="G22" s="384">
        <v>-2731</v>
      </c>
      <c r="H22" s="384">
        <v>-2388</v>
      </c>
      <c r="I22" s="384">
        <v>-2192</v>
      </c>
      <c r="J22" s="384">
        <v>-2283</v>
      </c>
      <c r="K22" s="384">
        <v>-2503</v>
      </c>
      <c r="L22" s="384">
        <v>-1783</v>
      </c>
      <c r="M22" s="384">
        <v>-2068</v>
      </c>
      <c r="N22" s="384">
        <v>-1944</v>
      </c>
      <c r="O22" s="384">
        <v>-3614</v>
      </c>
      <c r="P22" s="384">
        <v>-5900</v>
      </c>
      <c r="Q22" s="384">
        <v>-4043</v>
      </c>
      <c r="R22" s="384">
        <v>-5331</v>
      </c>
      <c r="S22" s="384">
        <v>-5322</v>
      </c>
    </row>
    <row r="23" spans="1:25" ht="12.95" customHeight="1">
      <c r="A23" s="383" t="s">
        <v>221</v>
      </c>
      <c r="B23" s="383" t="s">
        <v>209</v>
      </c>
      <c r="C23" s="384">
        <v>-1630</v>
      </c>
      <c r="D23" s="384">
        <v>-1620</v>
      </c>
      <c r="E23" s="384">
        <v>-1618</v>
      </c>
      <c r="F23" s="384">
        <v>-1740</v>
      </c>
      <c r="G23" s="384">
        <v>-1829</v>
      </c>
      <c r="H23" s="384">
        <v>-1799</v>
      </c>
      <c r="I23" s="384">
        <v>-1512</v>
      </c>
      <c r="J23" s="384">
        <v>-1828</v>
      </c>
      <c r="K23" s="384">
        <v>-2139</v>
      </c>
      <c r="L23" s="384">
        <v>-1480</v>
      </c>
      <c r="M23" s="384">
        <v>-2017</v>
      </c>
      <c r="N23" s="384">
        <v>-5761</v>
      </c>
      <c r="O23" s="384">
        <v>-6001</v>
      </c>
      <c r="P23" s="384">
        <v>-5084</v>
      </c>
      <c r="Q23" s="384">
        <v>-5055</v>
      </c>
      <c r="R23" s="384">
        <v>-5488</v>
      </c>
      <c r="S23" s="384">
        <v>-5507</v>
      </c>
    </row>
    <row r="24" spans="1:25" ht="15" customHeight="1">
      <c r="A24" s="383" t="s">
        <v>57</v>
      </c>
      <c r="B24" s="383" t="s">
        <v>210</v>
      </c>
      <c r="C24" s="384">
        <v>-2140</v>
      </c>
      <c r="D24" s="384">
        <v>-2489</v>
      </c>
      <c r="E24" s="384">
        <v>-6266</v>
      </c>
      <c r="F24" s="384">
        <v>-3876</v>
      </c>
      <c r="G24" s="384">
        <v>-2209</v>
      </c>
      <c r="H24" s="384">
        <v>-1950</v>
      </c>
      <c r="I24" s="384">
        <v>-2157</v>
      </c>
      <c r="J24" s="384">
        <v>-2153</v>
      </c>
      <c r="K24" s="384">
        <v>-5138</v>
      </c>
      <c r="L24" s="384">
        <v>-5187</v>
      </c>
      <c r="M24" s="384">
        <v>-4634</v>
      </c>
      <c r="N24" s="384">
        <v>-4774</v>
      </c>
      <c r="O24" s="384">
        <v>-4340</v>
      </c>
      <c r="P24" s="384">
        <v>-4589</v>
      </c>
      <c r="Q24" s="384">
        <v>-4233</v>
      </c>
      <c r="R24" s="384">
        <v>-4370</v>
      </c>
      <c r="S24" s="384">
        <v>-4149</v>
      </c>
    </row>
    <row r="25" spans="1:25" ht="15" customHeight="1">
      <c r="A25" s="383" t="s">
        <v>56</v>
      </c>
      <c r="B25" s="383" t="s">
        <v>44</v>
      </c>
      <c r="C25" s="384">
        <v>-5805</v>
      </c>
      <c r="D25" s="384">
        <v>-5832</v>
      </c>
      <c r="E25" s="384">
        <v>-5811</v>
      </c>
      <c r="F25" s="384">
        <v>-4130</v>
      </c>
      <c r="G25" s="384">
        <v>-5309</v>
      </c>
      <c r="H25" s="384">
        <v>-4955</v>
      </c>
      <c r="I25" s="384">
        <v>-4486</v>
      </c>
      <c r="J25" s="384">
        <v>-3058</v>
      </c>
      <c r="K25" s="384">
        <v>-2826</v>
      </c>
      <c r="L25" s="384">
        <v>-2205</v>
      </c>
      <c r="M25" s="384">
        <v>-2130</v>
      </c>
      <c r="N25" s="384">
        <v>-3514</v>
      </c>
      <c r="O25" s="384">
        <v>-2307</v>
      </c>
      <c r="P25" s="384">
        <v>-2139</v>
      </c>
      <c r="Q25" s="384">
        <v>-3445</v>
      </c>
      <c r="R25" s="384">
        <v>-3343</v>
      </c>
      <c r="S25" s="384">
        <v>-3129</v>
      </c>
    </row>
    <row r="26" spans="1:25" ht="15" customHeight="1">
      <c r="A26" s="383" t="s">
        <v>211</v>
      </c>
      <c r="B26" s="383" t="s">
        <v>212</v>
      </c>
      <c r="C26" s="384">
        <v>-5967</v>
      </c>
      <c r="D26" s="384">
        <v>-7008</v>
      </c>
      <c r="E26" s="384">
        <v>-6769</v>
      </c>
      <c r="F26" s="384">
        <v>-7440</v>
      </c>
      <c r="G26" s="384">
        <v>-7044</v>
      </c>
      <c r="H26" s="384">
        <v>-6451</v>
      </c>
      <c r="I26" s="384">
        <v>-6894</v>
      </c>
      <c r="J26" s="384">
        <v>-6933</v>
      </c>
      <c r="K26" s="384">
        <v>-7564</v>
      </c>
      <c r="L26" s="384">
        <v>-7575</v>
      </c>
      <c r="M26" s="384">
        <v>-7424</v>
      </c>
      <c r="N26" s="384">
        <v>-7864</v>
      </c>
      <c r="O26" s="384">
        <v>-7287</v>
      </c>
      <c r="P26" s="384">
        <v>-6532</v>
      </c>
      <c r="Q26" s="384">
        <v>-6759</v>
      </c>
      <c r="R26" s="384">
        <v>-8766</v>
      </c>
      <c r="S26" s="384">
        <v>-8030</v>
      </c>
    </row>
    <row r="27" spans="1:25" ht="15" customHeight="1">
      <c r="A27" s="383" t="s">
        <v>222</v>
      </c>
      <c r="B27" s="383" t="s">
        <v>223</v>
      </c>
      <c r="C27" s="384">
        <v>-1801</v>
      </c>
      <c r="D27" s="384">
        <v>-3050</v>
      </c>
      <c r="E27" s="384">
        <v>-3405</v>
      </c>
      <c r="F27" s="384">
        <v>-3662</v>
      </c>
      <c r="G27" s="384">
        <v>-2112</v>
      </c>
      <c r="H27" s="384">
        <v>-2403</v>
      </c>
      <c r="I27" s="384">
        <v>-2359</v>
      </c>
      <c r="J27" s="384">
        <v>-2470</v>
      </c>
      <c r="K27" s="384">
        <v>-2314</v>
      </c>
      <c r="L27" s="384">
        <v>-2153</v>
      </c>
      <c r="M27" s="384">
        <v>-2257</v>
      </c>
      <c r="N27" s="384">
        <v>-2189</v>
      </c>
      <c r="O27" s="384">
        <v>-2099</v>
      </c>
      <c r="P27" s="384">
        <v>-2575</v>
      </c>
      <c r="Q27" s="384">
        <v>-2628</v>
      </c>
      <c r="R27" s="384">
        <v>-2928</v>
      </c>
      <c r="S27" s="384">
        <v>-2124</v>
      </c>
    </row>
    <row r="28" spans="1:25" ht="15" customHeight="1">
      <c r="A28" s="383" t="s">
        <v>215</v>
      </c>
      <c r="B28" s="383" t="s">
        <v>216</v>
      </c>
      <c r="C28" s="384">
        <f>-8306-C19</f>
        <v>-7742</v>
      </c>
      <c r="D28" s="384">
        <f>-8534-D19</f>
        <v>-7895</v>
      </c>
      <c r="E28" s="384">
        <f>-5911-E19</f>
        <v>-5321</v>
      </c>
      <c r="F28" s="384">
        <f>-10516-F19</f>
        <v>-9111</v>
      </c>
      <c r="G28" s="384">
        <f>-8111-G19</f>
        <v>-7503</v>
      </c>
      <c r="H28" s="384">
        <f>-8862-H19</f>
        <v>-7071</v>
      </c>
      <c r="I28" s="384">
        <f>-9365-I19</f>
        <v>-7288</v>
      </c>
      <c r="J28" s="384">
        <f>-16791-J19</f>
        <v>-12349</v>
      </c>
      <c r="K28" s="384">
        <f>-14819-K19</f>
        <v>-11920</v>
      </c>
      <c r="L28" s="384">
        <v>-12519</v>
      </c>
      <c r="M28" s="384">
        <v>-15496</v>
      </c>
      <c r="N28" s="384">
        <v>-16960</v>
      </c>
      <c r="O28" s="384">
        <f>-10100-451</f>
        <v>-10551</v>
      </c>
      <c r="P28" s="384">
        <f>-7211-930</f>
        <v>-8141</v>
      </c>
      <c r="Q28" s="384">
        <v>-9559</v>
      </c>
      <c r="R28" s="384">
        <v>-15392</v>
      </c>
      <c r="S28" s="384">
        <v>-8848</v>
      </c>
    </row>
    <row r="29" spans="1:25" s="318" customFormat="1" ht="15" customHeight="1">
      <c r="A29" s="386"/>
      <c r="B29" s="386" t="s">
        <v>43</v>
      </c>
      <c r="C29" s="387">
        <f t="shared" ref="C29:S29" si="1">SUM(C17:C20,C21:C28)</f>
        <v>-95831</v>
      </c>
      <c r="D29" s="387">
        <f t="shared" si="1"/>
        <v>-112239</v>
      </c>
      <c r="E29" s="387">
        <f t="shared" si="1"/>
        <v>-127585</v>
      </c>
      <c r="F29" s="387">
        <f t="shared" si="1"/>
        <v>-127429</v>
      </c>
      <c r="G29" s="387">
        <f t="shared" si="1"/>
        <v>-88861</v>
      </c>
      <c r="H29" s="387">
        <f t="shared" si="1"/>
        <v>-119867</v>
      </c>
      <c r="I29" s="387">
        <f t="shared" si="1"/>
        <v>-93092</v>
      </c>
      <c r="J29" s="387">
        <f t="shared" si="1"/>
        <v>-166953</v>
      </c>
      <c r="K29" s="387">
        <f t="shared" si="1"/>
        <v>-109741</v>
      </c>
      <c r="L29" s="387">
        <f t="shared" si="1"/>
        <v>-138708</v>
      </c>
      <c r="M29" s="387">
        <f t="shared" si="1"/>
        <v>-118182</v>
      </c>
      <c r="N29" s="387">
        <f t="shared" si="1"/>
        <v>-153247</v>
      </c>
      <c r="O29" s="387">
        <f t="shared" si="1"/>
        <v>-123592</v>
      </c>
      <c r="P29" s="387">
        <f t="shared" si="1"/>
        <v>-111804</v>
      </c>
      <c r="Q29" s="387">
        <f t="shared" si="1"/>
        <v>-116023</v>
      </c>
      <c r="R29" s="387">
        <f t="shared" si="1"/>
        <v>-135281</v>
      </c>
      <c r="S29" s="387">
        <f t="shared" si="1"/>
        <v>-106218</v>
      </c>
      <c r="T29" s="6"/>
    </row>
    <row r="30" spans="1:25" ht="15" customHeight="1">
      <c r="P30" s="318"/>
      <c r="Q30" s="318"/>
      <c r="R30" s="318"/>
      <c r="S30" s="318"/>
    </row>
    <row r="31" spans="1:25" ht="15" customHeight="1">
      <c r="A31" s="386" t="s">
        <v>55</v>
      </c>
      <c r="B31" s="386" t="s">
        <v>4</v>
      </c>
      <c r="C31" s="387">
        <f t="shared" ref="C31:S31" si="2">SUM(C15,C29)</f>
        <v>475194</v>
      </c>
      <c r="D31" s="387">
        <f t="shared" si="2"/>
        <v>495642</v>
      </c>
      <c r="E31" s="387">
        <f t="shared" si="2"/>
        <v>526905</v>
      </c>
      <c r="F31" s="387">
        <f t="shared" si="2"/>
        <v>515383</v>
      </c>
      <c r="G31" s="387">
        <f t="shared" si="2"/>
        <v>515112</v>
      </c>
      <c r="H31" s="387">
        <f t="shared" si="2"/>
        <v>529760</v>
      </c>
      <c r="I31" s="387">
        <f t="shared" si="2"/>
        <v>515650</v>
      </c>
      <c r="J31" s="387">
        <f t="shared" si="2"/>
        <v>497277</v>
      </c>
      <c r="K31" s="387">
        <f t="shared" si="2"/>
        <v>520062</v>
      </c>
      <c r="L31" s="387">
        <f t="shared" si="2"/>
        <v>522357</v>
      </c>
      <c r="M31" s="387">
        <f t="shared" si="2"/>
        <v>544047</v>
      </c>
      <c r="N31" s="387">
        <f t="shared" si="2"/>
        <v>541705</v>
      </c>
      <c r="O31" s="387">
        <f t="shared" si="2"/>
        <v>538243</v>
      </c>
      <c r="P31" s="387">
        <f t="shared" si="2"/>
        <v>491831</v>
      </c>
      <c r="Q31" s="387">
        <f t="shared" si="2"/>
        <v>552731</v>
      </c>
      <c r="R31" s="387">
        <f t="shared" si="2"/>
        <v>569301</v>
      </c>
      <c r="S31" s="387">
        <f t="shared" si="2"/>
        <v>611275</v>
      </c>
      <c r="U31" s="29"/>
      <c r="V31" s="29"/>
      <c r="W31" s="29"/>
      <c r="X31" s="29"/>
      <c r="Y31" s="29"/>
    </row>
    <row r="32" spans="1:25" ht="15" customHeight="1">
      <c r="U32" s="29"/>
      <c r="V32" s="29"/>
      <c r="W32" s="29"/>
      <c r="X32" s="29"/>
      <c r="Y32" s="29"/>
    </row>
    <row r="33" spans="1:25" ht="15" customHeight="1" thickBot="1">
      <c r="C33" s="390"/>
      <c r="D33" s="382"/>
      <c r="E33" s="382"/>
      <c r="F33" s="382"/>
      <c r="G33" s="382"/>
      <c r="H33" s="382"/>
      <c r="I33" s="382"/>
      <c r="J33" s="382"/>
      <c r="K33" s="382"/>
      <c r="L33" s="382"/>
      <c r="M33" s="382"/>
      <c r="N33" s="382"/>
      <c r="O33" s="382"/>
      <c r="P33" s="382"/>
      <c r="Q33" s="382"/>
      <c r="R33" s="382"/>
      <c r="S33" s="382"/>
      <c r="U33" s="29"/>
      <c r="V33" s="29"/>
      <c r="W33" s="29"/>
      <c r="X33" s="29"/>
      <c r="Y33" s="29"/>
    </row>
    <row r="34" spans="1:25" ht="15" customHeight="1" thickBot="1">
      <c r="A34" s="369" t="s">
        <v>55</v>
      </c>
      <c r="B34" s="369" t="s">
        <v>4</v>
      </c>
      <c r="C34" s="391" t="s">
        <v>188</v>
      </c>
      <c r="D34" s="382" t="s">
        <v>189</v>
      </c>
      <c r="E34" s="382" t="s">
        <v>190</v>
      </c>
      <c r="F34" s="382" t="str">
        <f>F2</f>
        <v>IV Q 2017</v>
      </c>
      <c r="G34" s="382" t="str">
        <f>G2</f>
        <v>I Q 2018</v>
      </c>
      <c r="H34" s="382" t="str">
        <f>H2</f>
        <v>II Q 2018</v>
      </c>
      <c r="I34" s="382" t="s">
        <v>194</v>
      </c>
      <c r="J34" s="382" t="str">
        <f>J2</f>
        <v>IV Q 2018</v>
      </c>
      <c r="K34" s="382" t="s">
        <v>196</v>
      </c>
      <c r="L34" s="382" t="s">
        <v>197</v>
      </c>
      <c r="M34" s="382" t="s">
        <v>594</v>
      </c>
      <c r="N34" s="382" t="str">
        <f t="shared" ref="N34:S34" si="3">N2</f>
        <v>IV Q 2019</v>
      </c>
      <c r="O34" s="382" t="str">
        <f t="shared" si="3"/>
        <v>I Q 2020</v>
      </c>
      <c r="P34" s="382" t="str">
        <f t="shared" si="3"/>
        <v>II Q 2020</v>
      </c>
      <c r="Q34" s="382" t="str">
        <f t="shared" si="3"/>
        <v>III Q 2020</v>
      </c>
      <c r="R34" s="382" t="str">
        <f t="shared" si="3"/>
        <v>IV Q 2020</v>
      </c>
      <c r="S34" s="382" t="str">
        <f t="shared" si="3"/>
        <v>I Q 2021</v>
      </c>
      <c r="U34" s="29"/>
      <c r="V34" s="29"/>
      <c r="W34" s="29"/>
      <c r="X34" s="29"/>
      <c r="Y34" s="29"/>
    </row>
    <row r="35" spans="1:25" ht="15" customHeight="1">
      <c r="A35" s="383" t="s">
        <v>198</v>
      </c>
      <c r="B35" s="383" t="s">
        <v>199</v>
      </c>
      <c r="C35" s="384">
        <f t="shared" ref="C35:L35" si="4">C3+C17</f>
        <v>83166</v>
      </c>
      <c r="D35" s="384">
        <f t="shared" si="4"/>
        <v>85353</v>
      </c>
      <c r="E35" s="384">
        <f t="shared" si="4"/>
        <v>83698</v>
      </c>
      <c r="F35" s="384">
        <f t="shared" si="4"/>
        <v>85404</v>
      </c>
      <c r="G35" s="384">
        <f t="shared" si="4"/>
        <v>81314</v>
      </c>
      <c r="H35" s="384">
        <f t="shared" si="4"/>
        <v>80029</v>
      </c>
      <c r="I35" s="384">
        <f t="shared" si="4"/>
        <v>75671</v>
      </c>
      <c r="J35" s="384">
        <f t="shared" si="4"/>
        <v>80429</v>
      </c>
      <c r="K35" s="384">
        <f t="shared" si="4"/>
        <v>80848</v>
      </c>
      <c r="L35" s="384">
        <f t="shared" si="4"/>
        <v>81375</v>
      </c>
      <c r="M35" s="384">
        <v>81709</v>
      </c>
      <c r="N35" s="384">
        <v>80673</v>
      </c>
      <c r="O35" s="384">
        <v>78999</v>
      </c>
      <c r="P35" s="384">
        <f t="shared" ref="P35:S37" si="5">P3+P17</f>
        <v>73027</v>
      </c>
      <c r="Q35" s="384">
        <f t="shared" si="5"/>
        <v>77437</v>
      </c>
      <c r="R35" s="384">
        <f t="shared" si="5"/>
        <v>79713</v>
      </c>
      <c r="S35" s="384">
        <f t="shared" si="5"/>
        <v>96737</v>
      </c>
      <c r="U35" s="29"/>
      <c r="V35" s="29"/>
      <c r="W35" s="29"/>
      <c r="X35" s="29"/>
      <c r="Y35" s="29"/>
    </row>
    <row r="36" spans="1:25" ht="15" customHeight="1">
      <c r="A36" s="383" t="s">
        <v>591</v>
      </c>
      <c r="B36" s="383" t="s">
        <v>575</v>
      </c>
      <c r="C36" s="384">
        <f t="shared" ref="C36:L36" si="6">C4+C18</f>
        <v>58933</v>
      </c>
      <c r="D36" s="384">
        <f t="shared" si="6"/>
        <v>50701</v>
      </c>
      <c r="E36" s="384">
        <f t="shared" si="6"/>
        <v>67014</v>
      </c>
      <c r="F36" s="384">
        <f t="shared" si="6"/>
        <v>61381</v>
      </c>
      <c r="G36" s="384">
        <f t="shared" si="6"/>
        <v>72644</v>
      </c>
      <c r="H36" s="384">
        <f t="shared" si="6"/>
        <v>74018</v>
      </c>
      <c r="I36" s="384">
        <f t="shared" si="6"/>
        <v>82072</v>
      </c>
      <c r="J36" s="384">
        <f t="shared" si="6"/>
        <v>42663</v>
      </c>
      <c r="K36" s="384">
        <f t="shared" si="6"/>
        <v>78287</v>
      </c>
      <c r="L36" s="384">
        <f t="shared" si="6"/>
        <v>64767</v>
      </c>
      <c r="M36" s="384">
        <v>76414</v>
      </c>
      <c r="N36" s="384">
        <v>88937</v>
      </c>
      <c r="O36" s="384">
        <v>64404</v>
      </c>
      <c r="P36" s="384">
        <f t="shared" si="5"/>
        <v>81659</v>
      </c>
      <c r="Q36" s="384">
        <f t="shared" si="5"/>
        <v>101245</v>
      </c>
      <c r="R36" s="384">
        <f t="shared" si="5"/>
        <v>80816</v>
      </c>
      <c r="S36" s="384">
        <f t="shared" si="5"/>
        <v>96939</v>
      </c>
      <c r="U36" s="464">
        <f>R36+R43+R45</f>
        <v>128041</v>
      </c>
      <c r="V36" s="29"/>
      <c r="W36" s="29"/>
      <c r="X36" s="29"/>
      <c r="Y36" s="29"/>
    </row>
    <row r="37" spans="1:25" ht="15" customHeight="1">
      <c r="A37" s="383" t="s">
        <v>200</v>
      </c>
      <c r="B37" s="383" t="s">
        <v>201</v>
      </c>
      <c r="C37" s="384">
        <f t="shared" ref="C37:L37" si="7">C5+C19</f>
        <v>12224</v>
      </c>
      <c r="D37" s="384">
        <f t="shared" si="7"/>
        <v>11192</v>
      </c>
      <c r="E37" s="384">
        <f t="shared" si="7"/>
        <v>15755</v>
      </c>
      <c r="F37" s="384">
        <f t="shared" si="7"/>
        <v>17934</v>
      </c>
      <c r="G37" s="384">
        <f t="shared" si="7"/>
        <v>14213</v>
      </c>
      <c r="H37" s="384">
        <f t="shared" si="7"/>
        <v>13144</v>
      </c>
      <c r="I37" s="384">
        <f t="shared" si="7"/>
        <v>12663</v>
      </c>
      <c r="J37" s="384">
        <f t="shared" si="7"/>
        <v>21584</v>
      </c>
      <c r="K37" s="384">
        <f t="shared" si="7"/>
        <v>14492</v>
      </c>
      <c r="L37" s="384">
        <f t="shared" si="7"/>
        <v>12995</v>
      </c>
      <c r="M37" s="384">
        <v>16046</v>
      </c>
      <c r="N37" s="384">
        <v>2201</v>
      </c>
      <c r="O37" s="384">
        <v>10612</v>
      </c>
      <c r="P37" s="384">
        <f t="shared" si="5"/>
        <v>5719</v>
      </c>
      <c r="Q37" s="384">
        <f t="shared" si="5"/>
        <v>7772</v>
      </c>
      <c r="R37" s="384">
        <f t="shared" si="5"/>
        <v>12301</v>
      </c>
      <c r="S37" s="384">
        <f t="shared" si="5"/>
        <v>11029</v>
      </c>
      <c r="U37" s="29"/>
      <c r="V37" s="29"/>
      <c r="W37" s="29"/>
      <c r="X37" s="29"/>
      <c r="Y37" s="29"/>
    </row>
    <row r="38" spans="1:25" ht="15" customHeight="1">
      <c r="A38" s="383" t="s">
        <v>202</v>
      </c>
      <c r="B38" s="383" t="s">
        <v>203</v>
      </c>
      <c r="C38" s="384">
        <f t="shared" ref="C38:L38" si="8">C6</f>
        <v>78131</v>
      </c>
      <c r="D38" s="384">
        <f t="shared" si="8"/>
        <v>84907</v>
      </c>
      <c r="E38" s="384">
        <f t="shared" si="8"/>
        <v>91823</v>
      </c>
      <c r="F38" s="384">
        <f t="shared" si="8"/>
        <v>91195</v>
      </c>
      <c r="G38" s="384">
        <f t="shared" si="8"/>
        <v>89091</v>
      </c>
      <c r="H38" s="384">
        <f t="shared" si="8"/>
        <v>100549</v>
      </c>
      <c r="I38" s="384">
        <f t="shared" si="8"/>
        <v>96500</v>
      </c>
      <c r="J38" s="384">
        <f t="shared" si="8"/>
        <v>109843</v>
      </c>
      <c r="K38" s="384">
        <f t="shared" si="8"/>
        <v>106851</v>
      </c>
      <c r="L38" s="384">
        <f t="shared" si="8"/>
        <v>113794</v>
      </c>
      <c r="M38" s="384">
        <v>111614</v>
      </c>
      <c r="N38" s="384">
        <v>110458</v>
      </c>
      <c r="O38" s="384">
        <v>121539</v>
      </c>
      <c r="P38" s="384">
        <f>P6</f>
        <v>104174</v>
      </c>
      <c r="Q38" s="384">
        <f>Q6</f>
        <v>116339</v>
      </c>
      <c r="R38" s="384">
        <f>R6</f>
        <v>126765</v>
      </c>
      <c r="S38" s="384">
        <f>S6</f>
        <v>119814</v>
      </c>
      <c r="U38" s="29"/>
      <c r="V38" s="29"/>
      <c r="W38" s="29"/>
      <c r="X38" s="29"/>
      <c r="Y38" s="29"/>
    </row>
    <row r="39" spans="1:25" ht="15" customHeight="1">
      <c r="A39" s="383" t="s">
        <v>204</v>
      </c>
      <c r="B39" s="383" t="s">
        <v>205</v>
      </c>
      <c r="C39" s="384">
        <f t="shared" ref="C39:L39" si="9">C7+C20</f>
        <v>88449</v>
      </c>
      <c r="D39" s="384">
        <f t="shared" si="9"/>
        <v>92393</v>
      </c>
      <c r="E39" s="384">
        <f t="shared" si="9"/>
        <v>93025</v>
      </c>
      <c r="F39" s="384">
        <f t="shared" si="9"/>
        <v>98827</v>
      </c>
      <c r="G39" s="384">
        <f t="shared" si="9"/>
        <v>94406</v>
      </c>
      <c r="H39" s="384">
        <f t="shared" si="9"/>
        <v>95680</v>
      </c>
      <c r="I39" s="384">
        <f t="shared" si="9"/>
        <v>96924</v>
      </c>
      <c r="J39" s="384">
        <f t="shared" si="9"/>
        <v>99424</v>
      </c>
      <c r="K39" s="384">
        <f t="shared" si="9"/>
        <v>94473</v>
      </c>
      <c r="L39" s="384">
        <f t="shared" si="9"/>
        <v>98096</v>
      </c>
      <c r="M39" s="384">
        <v>100793</v>
      </c>
      <c r="N39" s="384">
        <v>94553</v>
      </c>
      <c r="O39" s="384">
        <v>88902</v>
      </c>
      <c r="P39" s="384">
        <f t="shared" ref="P39:S40" si="10">P7+P20</f>
        <v>85415</v>
      </c>
      <c r="Q39" s="384">
        <f t="shared" si="10"/>
        <v>99872</v>
      </c>
      <c r="R39" s="384">
        <f t="shared" si="10"/>
        <v>108313</v>
      </c>
      <c r="S39" s="384">
        <f t="shared" si="10"/>
        <v>110038</v>
      </c>
      <c r="U39" s="29"/>
      <c r="V39" s="29"/>
      <c r="W39" s="29"/>
      <c r="X39" s="29"/>
      <c r="Y39" s="29"/>
    </row>
    <row r="40" spans="1:25" ht="15" customHeight="1">
      <c r="A40" s="383" t="s">
        <v>206</v>
      </c>
      <c r="B40" s="383" t="s">
        <v>207</v>
      </c>
      <c r="C40" s="384">
        <f t="shared" ref="C40:L40" si="11">C8+C21</f>
        <v>31106</v>
      </c>
      <c r="D40" s="384">
        <f t="shared" si="11"/>
        <v>32537</v>
      </c>
      <c r="E40" s="384">
        <f t="shared" si="11"/>
        <v>37283</v>
      </c>
      <c r="F40" s="384">
        <f t="shared" si="11"/>
        <v>35360</v>
      </c>
      <c r="G40" s="384">
        <f t="shared" si="11"/>
        <v>34411</v>
      </c>
      <c r="H40" s="384">
        <f t="shared" si="11"/>
        <v>31953</v>
      </c>
      <c r="I40" s="384">
        <f t="shared" si="11"/>
        <v>32923</v>
      </c>
      <c r="J40" s="384">
        <f t="shared" si="11"/>
        <v>36397</v>
      </c>
      <c r="K40" s="384">
        <f t="shared" si="11"/>
        <v>35279</v>
      </c>
      <c r="L40" s="384">
        <f t="shared" si="11"/>
        <v>35124</v>
      </c>
      <c r="M40" s="384">
        <v>36332</v>
      </c>
      <c r="N40" s="384">
        <v>39048</v>
      </c>
      <c r="O40" s="384">
        <v>33218</v>
      </c>
      <c r="P40" s="384">
        <f t="shared" si="10"/>
        <v>32307</v>
      </c>
      <c r="Q40" s="384">
        <f t="shared" si="10"/>
        <v>30455</v>
      </c>
      <c r="R40" s="384">
        <f t="shared" si="10"/>
        <v>33980</v>
      </c>
      <c r="S40" s="384">
        <f t="shared" si="10"/>
        <v>32324</v>
      </c>
      <c r="T40" s="29"/>
      <c r="U40" s="29" t="s">
        <v>663</v>
      </c>
      <c r="V40" s="29"/>
      <c r="W40" s="29"/>
      <c r="X40" s="29"/>
      <c r="Y40" s="29"/>
    </row>
    <row r="41" spans="1:25" ht="15" customHeight="1">
      <c r="A41" s="383" t="s">
        <v>56</v>
      </c>
      <c r="B41" s="383" t="s">
        <v>44</v>
      </c>
      <c r="C41" s="384">
        <f t="shared" ref="C41:L41" si="12">C9+C25</f>
        <v>-1949</v>
      </c>
      <c r="D41" s="384">
        <f t="shared" si="12"/>
        <v>-2790</v>
      </c>
      <c r="E41" s="384">
        <f t="shared" si="12"/>
        <v>-4185</v>
      </c>
      <c r="F41" s="384">
        <f t="shared" si="12"/>
        <v>-2924</v>
      </c>
      <c r="G41" s="384">
        <f t="shared" si="12"/>
        <v>-4446</v>
      </c>
      <c r="H41" s="384">
        <f t="shared" si="12"/>
        <v>-4272</v>
      </c>
      <c r="I41" s="384">
        <f t="shared" si="12"/>
        <v>-4214</v>
      </c>
      <c r="J41" s="384">
        <f t="shared" si="12"/>
        <v>-85</v>
      </c>
      <c r="K41" s="384">
        <f t="shared" si="12"/>
        <v>-1113</v>
      </c>
      <c r="L41" s="384">
        <f t="shared" si="12"/>
        <v>-766</v>
      </c>
      <c r="M41" s="384">
        <v>-740</v>
      </c>
      <c r="N41" s="384">
        <v>12893</v>
      </c>
      <c r="O41" s="384">
        <v>1938</v>
      </c>
      <c r="P41" s="384">
        <f>P9+P25</f>
        <v>959</v>
      </c>
      <c r="Q41" s="384">
        <f>Q9+Q25</f>
        <v>950</v>
      </c>
      <c r="R41" s="384">
        <f>R9+R25</f>
        <v>1050</v>
      </c>
      <c r="S41" s="384">
        <f>S9+S25</f>
        <v>1597</v>
      </c>
      <c r="T41" s="29"/>
      <c r="U41" s="29" t="s">
        <v>664</v>
      </c>
      <c r="V41" s="29"/>
      <c r="W41" s="29"/>
      <c r="X41" s="29"/>
      <c r="Y41" s="29"/>
    </row>
    <row r="42" spans="1:25" ht="15" customHeight="1">
      <c r="A42" s="383" t="s">
        <v>208</v>
      </c>
      <c r="B42" s="383" t="s">
        <v>209</v>
      </c>
      <c r="C42" s="384">
        <f t="shared" ref="C42:L42" si="13">C10+C23</f>
        <v>67435</v>
      </c>
      <c r="D42" s="384">
        <f t="shared" si="13"/>
        <v>73280</v>
      </c>
      <c r="E42" s="384">
        <f t="shared" si="13"/>
        <v>78310</v>
      </c>
      <c r="F42" s="384">
        <f t="shared" si="13"/>
        <v>80842</v>
      </c>
      <c r="G42" s="384">
        <f t="shared" si="13"/>
        <v>79372</v>
      </c>
      <c r="H42" s="384">
        <f t="shared" si="13"/>
        <v>78187</v>
      </c>
      <c r="I42" s="384">
        <f t="shared" si="13"/>
        <v>75502</v>
      </c>
      <c r="J42" s="384">
        <f t="shared" si="13"/>
        <v>70348</v>
      </c>
      <c r="K42" s="384">
        <f t="shared" si="13"/>
        <v>65646</v>
      </c>
      <c r="L42" s="384">
        <f t="shared" si="13"/>
        <v>68395</v>
      </c>
      <c r="M42" s="384">
        <v>70815</v>
      </c>
      <c r="N42" s="384">
        <v>68795</v>
      </c>
      <c r="O42" s="384">
        <v>64262</v>
      </c>
      <c r="P42" s="384">
        <f t="shared" ref="P42:S43" si="14">P10+P23</f>
        <v>47691</v>
      </c>
      <c r="Q42" s="384">
        <f t="shared" si="14"/>
        <v>55265</v>
      </c>
      <c r="R42" s="384">
        <f t="shared" si="14"/>
        <v>59253</v>
      </c>
      <c r="S42" s="384">
        <f t="shared" si="14"/>
        <v>61615</v>
      </c>
      <c r="T42" s="29"/>
      <c r="U42" s="29" t="s">
        <v>665</v>
      </c>
      <c r="V42" s="29"/>
      <c r="W42" s="29"/>
      <c r="X42" s="29"/>
      <c r="Y42" s="29"/>
    </row>
    <row r="43" spans="1:25" ht="15" customHeight="1">
      <c r="A43" s="383" t="s">
        <v>57</v>
      </c>
      <c r="B43" s="383" t="s">
        <v>210</v>
      </c>
      <c r="C43" s="384">
        <f t="shared" ref="C43:L43" si="15">C11+C24</f>
        <v>49341</v>
      </c>
      <c r="D43" s="384">
        <f t="shared" si="15"/>
        <v>54167</v>
      </c>
      <c r="E43" s="384">
        <f t="shared" si="15"/>
        <v>48278</v>
      </c>
      <c r="F43" s="384">
        <f t="shared" si="15"/>
        <v>47015</v>
      </c>
      <c r="G43" s="384">
        <f t="shared" si="15"/>
        <v>47935</v>
      </c>
      <c r="H43" s="384">
        <f t="shared" si="15"/>
        <v>52239</v>
      </c>
      <c r="I43" s="384">
        <f t="shared" si="15"/>
        <v>45161</v>
      </c>
      <c r="J43" s="384">
        <f t="shared" si="15"/>
        <v>37108</v>
      </c>
      <c r="K43" s="384">
        <f t="shared" si="15"/>
        <v>43573</v>
      </c>
      <c r="L43" s="384">
        <f t="shared" si="15"/>
        <v>52640</v>
      </c>
      <c r="M43" s="384">
        <v>53227</v>
      </c>
      <c r="N43" s="384">
        <v>53354</v>
      </c>
      <c r="O43" s="384">
        <v>55970</v>
      </c>
      <c r="P43" s="384">
        <f t="shared" si="14"/>
        <v>43861</v>
      </c>
      <c r="Q43" s="384">
        <f t="shared" si="14"/>
        <v>52795</v>
      </c>
      <c r="R43" s="384">
        <f t="shared" si="14"/>
        <v>50401</v>
      </c>
      <c r="S43" s="384">
        <f t="shared" si="14"/>
        <v>49317</v>
      </c>
      <c r="T43" s="29"/>
      <c r="U43" s="29" t="s">
        <v>666</v>
      </c>
      <c r="V43" s="29"/>
      <c r="W43" s="29"/>
      <c r="X43" s="29"/>
      <c r="Y43" s="29"/>
    </row>
    <row r="44" spans="1:25" ht="15" customHeight="1">
      <c r="A44" s="383" t="s">
        <v>114</v>
      </c>
      <c r="B44" s="383" t="s">
        <v>113</v>
      </c>
      <c r="C44" s="384">
        <f t="shared" ref="C44:L44" si="16">C12+C22</f>
        <v>18897</v>
      </c>
      <c r="D44" s="384">
        <f t="shared" si="16"/>
        <v>19931</v>
      </c>
      <c r="E44" s="384">
        <f t="shared" si="16"/>
        <v>23728</v>
      </c>
      <c r="F44" s="384">
        <f t="shared" si="16"/>
        <v>14398</v>
      </c>
      <c r="G44" s="384">
        <f t="shared" si="16"/>
        <v>15401</v>
      </c>
      <c r="H44" s="384">
        <f t="shared" si="16"/>
        <v>16684</v>
      </c>
      <c r="I44" s="384">
        <f t="shared" si="16"/>
        <v>12530</v>
      </c>
      <c r="J44" s="384">
        <f t="shared" si="16"/>
        <v>14241</v>
      </c>
      <c r="K44" s="384">
        <f t="shared" si="16"/>
        <v>16213</v>
      </c>
      <c r="L44" s="384">
        <f t="shared" si="16"/>
        <v>11222</v>
      </c>
      <c r="M44" s="384">
        <v>13933</v>
      </c>
      <c r="N44" s="384">
        <v>9964</v>
      </c>
      <c r="O44" s="384">
        <v>24660</v>
      </c>
      <c r="P44" s="384">
        <f>P12+P22</f>
        <v>28227</v>
      </c>
      <c r="Q44" s="384">
        <f>Q12+Q22</f>
        <v>23159</v>
      </c>
      <c r="R44" s="384">
        <f>R12+R22</f>
        <v>36454</v>
      </c>
      <c r="S44" s="384">
        <f>S12+S22</f>
        <v>39468</v>
      </c>
      <c r="T44" s="29"/>
      <c r="U44" s="29" t="s">
        <v>667</v>
      </c>
      <c r="V44" s="29"/>
      <c r="W44" s="29"/>
      <c r="X44" s="29"/>
      <c r="Y44" s="29"/>
    </row>
    <row r="45" spans="1:25" ht="15" customHeight="1">
      <c r="A45" s="383" t="s">
        <v>211</v>
      </c>
      <c r="B45" s="383" t="s">
        <v>212</v>
      </c>
      <c r="C45" s="384">
        <f t="shared" ref="C45:L45" si="17">C13+C26</f>
        <v>-1993</v>
      </c>
      <c r="D45" s="384">
        <f t="shared" si="17"/>
        <v>-2891</v>
      </c>
      <c r="E45" s="384">
        <f t="shared" si="17"/>
        <v>-3049</v>
      </c>
      <c r="F45" s="384">
        <f t="shared" si="17"/>
        <v>-3023</v>
      </c>
      <c r="G45" s="384">
        <f t="shared" si="17"/>
        <v>-2672</v>
      </c>
      <c r="H45" s="384">
        <f t="shared" si="17"/>
        <v>-1804</v>
      </c>
      <c r="I45" s="384">
        <f t="shared" si="17"/>
        <v>-1873</v>
      </c>
      <c r="J45" s="384">
        <f t="shared" si="17"/>
        <v>-1056</v>
      </c>
      <c r="K45" s="384">
        <f t="shared" si="17"/>
        <v>-1287</v>
      </c>
      <c r="L45" s="384">
        <f t="shared" si="17"/>
        <v>-1577</v>
      </c>
      <c r="M45" s="384">
        <v>-848</v>
      </c>
      <c r="N45" s="384">
        <v>-2084</v>
      </c>
      <c r="O45" s="384">
        <v>-832</v>
      </c>
      <c r="P45" s="384">
        <f>P13+P26</f>
        <v>-1450</v>
      </c>
      <c r="Q45" s="384">
        <f>Q13+Q26</f>
        <v>-1009</v>
      </c>
      <c r="R45" s="384">
        <f>R13+R26</f>
        <v>-3176</v>
      </c>
      <c r="S45" s="384">
        <f>S13+S26</f>
        <v>-2018</v>
      </c>
      <c r="T45" s="29"/>
      <c r="U45" s="29" t="s">
        <v>668</v>
      </c>
      <c r="V45" s="29"/>
      <c r="W45" s="29"/>
      <c r="X45" s="29"/>
      <c r="Y45" s="29"/>
    </row>
    <row r="46" spans="1:25" ht="15" customHeight="1">
      <c r="A46" s="383" t="s">
        <v>213</v>
      </c>
      <c r="B46" s="383" t="s">
        <v>214</v>
      </c>
      <c r="C46" s="384">
        <f t="shared" ref="C46:L46" si="18">C14</f>
        <v>997</v>
      </c>
      <c r="D46" s="384">
        <f t="shared" si="18"/>
        <v>7807</v>
      </c>
      <c r="E46" s="384">
        <f t="shared" si="18"/>
        <v>3951</v>
      </c>
      <c r="F46" s="384">
        <f t="shared" si="18"/>
        <v>1747</v>
      </c>
      <c r="G46" s="384">
        <f t="shared" si="18"/>
        <v>3058</v>
      </c>
      <c r="H46" s="384">
        <f t="shared" si="18"/>
        <v>2827</v>
      </c>
      <c r="I46" s="384">
        <f t="shared" si="18"/>
        <v>1438</v>
      </c>
      <c r="J46" s="384">
        <f t="shared" si="18"/>
        <v>1200</v>
      </c>
      <c r="K46" s="384">
        <f t="shared" si="18"/>
        <v>1034</v>
      </c>
      <c r="L46" s="384">
        <f t="shared" si="18"/>
        <v>964</v>
      </c>
      <c r="M46" s="384">
        <v>2505</v>
      </c>
      <c r="N46" s="384">
        <v>2062</v>
      </c>
      <c r="O46" s="384">
        <v>7222</v>
      </c>
      <c r="P46" s="384">
        <f>P14</f>
        <v>958</v>
      </c>
      <c r="Q46" s="384">
        <f>Q14</f>
        <v>638</v>
      </c>
      <c r="R46" s="384">
        <f>R14</f>
        <v>1751</v>
      </c>
      <c r="S46" s="384">
        <f>S14</f>
        <v>5387</v>
      </c>
      <c r="T46" s="29"/>
      <c r="U46" s="29"/>
      <c r="V46" s="29"/>
      <c r="W46" s="29"/>
      <c r="X46" s="29"/>
      <c r="Y46" s="29"/>
    </row>
    <row r="47" spans="1:25" ht="15" customHeight="1">
      <c r="A47" s="383" t="s">
        <v>215</v>
      </c>
      <c r="B47" s="383" t="s">
        <v>224</v>
      </c>
      <c r="C47" s="384">
        <f t="shared" ref="C47:H47" si="19">C28+C27</f>
        <v>-9543</v>
      </c>
      <c r="D47" s="384">
        <f t="shared" si="19"/>
        <v>-10945</v>
      </c>
      <c r="E47" s="384">
        <f t="shared" si="19"/>
        <v>-8726</v>
      </c>
      <c r="F47" s="384">
        <f t="shared" si="19"/>
        <v>-12773</v>
      </c>
      <c r="G47" s="384">
        <f t="shared" si="19"/>
        <v>-9615</v>
      </c>
      <c r="H47" s="384">
        <f t="shared" si="19"/>
        <v>-9474</v>
      </c>
      <c r="I47" s="384">
        <f>I28+I27+1</f>
        <v>-9646</v>
      </c>
      <c r="J47" s="384">
        <f>J28+J27+1</f>
        <v>-14818</v>
      </c>
      <c r="K47" s="384">
        <f>K28+K27</f>
        <v>-14234</v>
      </c>
      <c r="L47" s="384">
        <f>L28+L27</f>
        <v>-14672</v>
      </c>
      <c r="M47" s="384">
        <v>-17753</v>
      </c>
      <c r="N47" s="384">
        <v>-19149</v>
      </c>
      <c r="O47" s="384">
        <v>-12650</v>
      </c>
      <c r="P47" s="384">
        <f>P28+P27</f>
        <v>-10716</v>
      </c>
      <c r="Q47" s="384">
        <f>Q28+Q27</f>
        <v>-12187</v>
      </c>
      <c r="R47" s="384">
        <f>R28+R27</f>
        <v>-18320</v>
      </c>
      <c r="S47" s="384">
        <f>S28+S27</f>
        <v>-10972</v>
      </c>
      <c r="T47" s="29"/>
      <c r="U47" s="29"/>
      <c r="V47" s="29"/>
      <c r="W47" s="29"/>
      <c r="X47" s="29"/>
      <c r="Y47" s="29"/>
    </row>
    <row r="48" spans="1:25" ht="15" customHeight="1">
      <c r="A48" s="386" t="s">
        <v>58</v>
      </c>
      <c r="B48" s="386" t="s">
        <v>43</v>
      </c>
      <c r="C48" s="387">
        <f t="shared" ref="C48:H48" si="20">SUM(C35:C39,C40:C47)</f>
        <v>475194</v>
      </c>
      <c r="D48" s="387">
        <f t="shared" si="20"/>
        <v>495642</v>
      </c>
      <c r="E48" s="387">
        <f t="shared" si="20"/>
        <v>526905</v>
      </c>
      <c r="F48" s="387">
        <f t="shared" si="20"/>
        <v>515383</v>
      </c>
      <c r="G48" s="387">
        <f t="shared" si="20"/>
        <v>515112</v>
      </c>
      <c r="H48" s="387">
        <f t="shared" si="20"/>
        <v>529760</v>
      </c>
      <c r="I48" s="387">
        <f>SUM(I35:I39,I40:I47)-1</f>
        <v>515650</v>
      </c>
      <c r="J48" s="387">
        <f t="shared" ref="J48:S48" si="21">SUM(J35:J39,J40:J47)</f>
        <v>497278</v>
      </c>
      <c r="K48" s="387">
        <f t="shared" si="21"/>
        <v>520062</v>
      </c>
      <c r="L48" s="387">
        <f t="shared" si="21"/>
        <v>522357</v>
      </c>
      <c r="M48" s="387">
        <f t="shared" si="21"/>
        <v>544047</v>
      </c>
      <c r="N48" s="387">
        <f t="shared" si="21"/>
        <v>541705</v>
      </c>
      <c r="O48" s="387">
        <f t="shared" si="21"/>
        <v>538244</v>
      </c>
      <c r="P48" s="387">
        <f t="shared" si="21"/>
        <v>491831</v>
      </c>
      <c r="Q48" s="387">
        <f t="shared" si="21"/>
        <v>552731</v>
      </c>
      <c r="R48" s="387">
        <f t="shared" si="21"/>
        <v>569301</v>
      </c>
      <c r="S48" s="387">
        <f t="shared" si="21"/>
        <v>611275</v>
      </c>
      <c r="T48" s="29"/>
      <c r="U48" s="29"/>
      <c r="V48" s="29"/>
      <c r="W48" s="29"/>
      <c r="X48" s="29"/>
      <c r="Y48" s="29"/>
    </row>
    <row r="49" spans="1:19" s="291" customFormat="1" ht="15" customHeight="1">
      <c r="C49" s="293">
        <f>C48-C31</f>
        <v>0</v>
      </c>
      <c r="K49" s="327"/>
    </row>
    <row r="50" spans="1:19" s="291" customFormat="1" ht="15" customHeight="1" thickBot="1">
      <c r="C50" s="390"/>
      <c r="D50" s="382"/>
      <c r="K50" s="327"/>
    </row>
    <row r="51" spans="1:19" s="291" customFormat="1" ht="15" customHeight="1" thickBot="1">
      <c r="A51" s="369" t="s">
        <v>55</v>
      </c>
      <c r="B51" s="369" t="s">
        <v>4</v>
      </c>
      <c r="C51" s="391" t="s">
        <v>188</v>
      </c>
      <c r="D51" s="382" t="s">
        <v>189</v>
      </c>
      <c r="E51" s="391" t="str">
        <f t="shared" ref="E51:K51" si="22">E34</f>
        <v>III Q 2017</v>
      </c>
      <c r="F51" s="391" t="str">
        <f t="shared" si="22"/>
        <v>IV Q 2017</v>
      </c>
      <c r="G51" s="391" t="str">
        <f t="shared" si="22"/>
        <v>I Q 2018</v>
      </c>
      <c r="H51" s="391" t="str">
        <f t="shared" si="22"/>
        <v>II Q 2018</v>
      </c>
      <c r="I51" s="391" t="str">
        <f t="shared" si="22"/>
        <v>III Q 2018</v>
      </c>
      <c r="J51" s="391" t="str">
        <f t="shared" si="22"/>
        <v>IV Q 2018</v>
      </c>
      <c r="K51" s="391" t="str">
        <f t="shared" si="22"/>
        <v>I Q 2019</v>
      </c>
      <c r="L51" s="391" t="s">
        <v>197</v>
      </c>
      <c r="M51" s="391" t="s">
        <v>594</v>
      </c>
      <c r="N51" s="391" t="str">
        <f t="shared" ref="N51:S51" si="23">N34</f>
        <v>IV Q 2019</v>
      </c>
      <c r="O51" s="391" t="str">
        <f t="shared" si="23"/>
        <v>I Q 2020</v>
      </c>
      <c r="P51" s="391" t="str">
        <f t="shared" si="23"/>
        <v>II Q 2020</v>
      </c>
      <c r="Q51" s="391" t="str">
        <f t="shared" si="23"/>
        <v>III Q 2020</v>
      </c>
      <c r="R51" s="391" t="str">
        <f t="shared" si="23"/>
        <v>IV Q 2020</v>
      </c>
      <c r="S51" s="391" t="str">
        <f t="shared" si="23"/>
        <v>I Q 2021</v>
      </c>
    </row>
    <row r="52" spans="1:19" s="291" customFormat="1" ht="14.25">
      <c r="A52" s="392" t="s">
        <v>588</v>
      </c>
      <c r="B52" s="392" t="s">
        <v>578</v>
      </c>
      <c r="C52" s="384"/>
      <c r="D52" s="384"/>
      <c r="E52" s="384"/>
      <c r="F52" s="384"/>
      <c r="G52" s="384"/>
      <c r="H52" s="384"/>
      <c r="I52" s="384"/>
      <c r="J52" s="384"/>
      <c r="K52" s="384"/>
      <c r="L52" s="384"/>
      <c r="M52" s="384"/>
      <c r="N52" s="384"/>
      <c r="O52" s="384"/>
      <c r="P52" s="384"/>
      <c r="Q52" s="384"/>
      <c r="R52" s="384"/>
      <c r="S52" s="384"/>
    </row>
    <row r="53" spans="1:19" s="291" customFormat="1" ht="15" customHeight="1">
      <c r="A53" s="393" t="s">
        <v>577</v>
      </c>
      <c r="B53" s="383" t="s">
        <v>576</v>
      </c>
      <c r="C53" s="394">
        <f t="shared" ref="C53:K53" si="24">C42/1000</f>
        <v>67</v>
      </c>
      <c r="D53" s="394">
        <f t="shared" si="24"/>
        <v>73</v>
      </c>
      <c r="E53" s="394">
        <f t="shared" si="24"/>
        <v>78</v>
      </c>
      <c r="F53" s="394">
        <f t="shared" si="24"/>
        <v>81</v>
      </c>
      <c r="G53" s="394">
        <f t="shared" si="24"/>
        <v>79</v>
      </c>
      <c r="H53" s="394">
        <f t="shared" si="24"/>
        <v>78</v>
      </c>
      <c r="I53" s="394">
        <f t="shared" si="24"/>
        <v>76</v>
      </c>
      <c r="J53" s="394">
        <f t="shared" si="24"/>
        <v>70</v>
      </c>
      <c r="K53" s="394">
        <f t="shared" si="24"/>
        <v>66</v>
      </c>
      <c r="L53" s="394">
        <f>L42/1000+1</f>
        <v>69</v>
      </c>
      <c r="M53" s="394">
        <f t="shared" ref="M53:R53" si="25">M42/1000</f>
        <v>71</v>
      </c>
      <c r="N53" s="394">
        <f t="shared" si="25"/>
        <v>69</v>
      </c>
      <c r="O53" s="394">
        <f t="shared" si="25"/>
        <v>64</v>
      </c>
      <c r="P53" s="394">
        <f t="shared" si="25"/>
        <v>48</v>
      </c>
      <c r="Q53" s="394">
        <f t="shared" si="25"/>
        <v>55</v>
      </c>
      <c r="R53" s="394">
        <f t="shared" si="25"/>
        <v>59</v>
      </c>
      <c r="S53" s="394">
        <f t="shared" ref="S53" si="26">S42/1000</f>
        <v>62</v>
      </c>
    </row>
    <row r="54" spans="1:19" s="291" customFormat="1" ht="15" customHeight="1">
      <c r="A54" s="383" t="s">
        <v>56</v>
      </c>
      <c r="B54" s="383" t="s">
        <v>44</v>
      </c>
      <c r="C54" s="384">
        <f>C41/1000</f>
        <v>-2</v>
      </c>
      <c r="D54" s="384">
        <f t="shared" ref="D54:L54" si="27">D41/1000</f>
        <v>-3</v>
      </c>
      <c r="E54" s="384">
        <f t="shared" si="27"/>
        <v>-4</v>
      </c>
      <c r="F54" s="384">
        <f t="shared" si="27"/>
        <v>-3</v>
      </c>
      <c r="G54" s="384">
        <f t="shared" si="27"/>
        <v>-4</v>
      </c>
      <c r="H54" s="384">
        <f t="shared" si="27"/>
        <v>-4</v>
      </c>
      <c r="I54" s="384">
        <f t="shared" si="27"/>
        <v>-4</v>
      </c>
      <c r="J54" s="384">
        <f t="shared" si="27"/>
        <v>0</v>
      </c>
      <c r="K54" s="384">
        <f t="shared" si="27"/>
        <v>-1</v>
      </c>
      <c r="L54" s="384">
        <f t="shared" si="27"/>
        <v>-1</v>
      </c>
      <c r="M54" s="384">
        <f t="shared" ref="M54:R54" si="28">M41/1000</f>
        <v>-1</v>
      </c>
      <c r="N54" s="384">
        <f t="shared" si="28"/>
        <v>13</v>
      </c>
      <c r="O54" s="384">
        <f t="shared" si="28"/>
        <v>2</v>
      </c>
      <c r="P54" s="384">
        <f t="shared" si="28"/>
        <v>1</v>
      </c>
      <c r="Q54" s="384">
        <f t="shared" si="28"/>
        <v>1</v>
      </c>
      <c r="R54" s="384">
        <f t="shared" si="28"/>
        <v>1</v>
      </c>
      <c r="S54" s="384">
        <f t="shared" ref="S54" si="29">S41/1000</f>
        <v>2</v>
      </c>
    </row>
    <row r="55" spans="1:19" s="291" customFormat="1" ht="15" customHeight="1">
      <c r="A55" s="383" t="s">
        <v>114</v>
      </c>
      <c r="B55" s="383" t="s">
        <v>113</v>
      </c>
      <c r="C55" s="384">
        <f t="shared" ref="C55:L55" si="30">C44/1000</f>
        <v>19</v>
      </c>
      <c r="D55" s="384">
        <f t="shared" si="30"/>
        <v>20</v>
      </c>
      <c r="E55" s="384">
        <f t="shared" si="30"/>
        <v>24</v>
      </c>
      <c r="F55" s="384">
        <f t="shared" si="30"/>
        <v>14</v>
      </c>
      <c r="G55" s="384">
        <f t="shared" si="30"/>
        <v>15</v>
      </c>
      <c r="H55" s="384">
        <f t="shared" si="30"/>
        <v>17</v>
      </c>
      <c r="I55" s="384">
        <f t="shared" si="30"/>
        <v>13</v>
      </c>
      <c r="J55" s="384">
        <f t="shared" si="30"/>
        <v>14</v>
      </c>
      <c r="K55" s="384">
        <f t="shared" si="30"/>
        <v>16</v>
      </c>
      <c r="L55" s="384">
        <f t="shared" si="30"/>
        <v>11</v>
      </c>
      <c r="M55" s="384">
        <f t="shared" ref="M55:R55" si="31">M44/1000</f>
        <v>14</v>
      </c>
      <c r="N55" s="384">
        <f t="shared" si="31"/>
        <v>10</v>
      </c>
      <c r="O55" s="384">
        <f t="shared" si="31"/>
        <v>25</v>
      </c>
      <c r="P55" s="384">
        <f t="shared" si="31"/>
        <v>28</v>
      </c>
      <c r="Q55" s="384">
        <f t="shared" si="31"/>
        <v>23</v>
      </c>
      <c r="R55" s="384">
        <f t="shared" si="31"/>
        <v>36</v>
      </c>
      <c r="S55" s="384">
        <f t="shared" ref="S55" si="32">S44/1000</f>
        <v>39</v>
      </c>
    </row>
    <row r="56" spans="1:19" s="291" customFormat="1" ht="15" customHeight="1">
      <c r="A56" s="383" t="s">
        <v>200</v>
      </c>
      <c r="B56" s="383" t="s">
        <v>201</v>
      </c>
      <c r="C56" s="384">
        <f t="shared" ref="C56:S56" si="33">C37/1000</f>
        <v>12</v>
      </c>
      <c r="D56" s="384">
        <f t="shared" si="33"/>
        <v>11</v>
      </c>
      <c r="E56" s="384">
        <f t="shared" si="33"/>
        <v>16</v>
      </c>
      <c r="F56" s="384">
        <f t="shared" si="33"/>
        <v>18</v>
      </c>
      <c r="G56" s="384">
        <f t="shared" si="33"/>
        <v>14</v>
      </c>
      <c r="H56" s="384">
        <f t="shared" si="33"/>
        <v>13</v>
      </c>
      <c r="I56" s="384">
        <f t="shared" si="33"/>
        <v>13</v>
      </c>
      <c r="J56" s="384">
        <f t="shared" si="33"/>
        <v>22</v>
      </c>
      <c r="K56" s="384">
        <f t="shared" si="33"/>
        <v>14</v>
      </c>
      <c r="L56" s="384">
        <f t="shared" si="33"/>
        <v>13</v>
      </c>
      <c r="M56" s="384">
        <f t="shared" si="33"/>
        <v>16</v>
      </c>
      <c r="N56" s="384">
        <f t="shared" si="33"/>
        <v>2</v>
      </c>
      <c r="O56" s="384">
        <f t="shared" si="33"/>
        <v>11</v>
      </c>
      <c r="P56" s="384">
        <f t="shared" si="33"/>
        <v>6</v>
      </c>
      <c r="Q56" s="384">
        <f t="shared" si="33"/>
        <v>8</v>
      </c>
      <c r="R56" s="384">
        <f t="shared" si="33"/>
        <v>12</v>
      </c>
      <c r="S56" s="384">
        <f t="shared" si="33"/>
        <v>11</v>
      </c>
    </row>
    <row r="57" spans="1:19" s="291" customFormat="1" ht="15" customHeight="1">
      <c r="A57" s="383" t="s">
        <v>584</v>
      </c>
      <c r="B57" s="383" t="s">
        <v>579</v>
      </c>
      <c r="C57" s="384">
        <f t="shared" ref="C57:S57" si="34">C35/1000</f>
        <v>83</v>
      </c>
      <c r="D57" s="384">
        <f t="shared" si="34"/>
        <v>85</v>
      </c>
      <c r="E57" s="384">
        <f t="shared" si="34"/>
        <v>84</v>
      </c>
      <c r="F57" s="384">
        <f t="shared" si="34"/>
        <v>85</v>
      </c>
      <c r="G57" s="384">
        <f t="shared" si="34"/>
        <v>81</v>
      </c>
      <c r="H57" s="384">
        <f t="shared" si="34"/>
        <v>80</v>
      </c>
      <c r="I57" s="384">
        <f t="shared" si="34"/>
        <v>76</v>
      </c>
      <c r="J57" s="384">
        <f t="shared" si="34"/>
        <v>80</v>
      </c>
      <c r="K57" s="384">
        <f t="shared" si="34"/>
        <v>81</v>
      </c>
      <c r="L57" s="384">
        <f t="shared" si="34"/>
        <v>81</v>
      </c>
      <c r="M57" s="384">
        <f t="shared" si="34"/>
        <v>82</v>
      </c>
      <c r="N57" s="384">
        <f t="shared" si="34"/>
        <v>81</v>
      </c>
      <c r="O57" s="384">
        <f t="shared" si="34"/>
        <v>79</v>
      </c>
      <c r="P57" s="384">
        <f t="shared" si="34"/>
        <v>73</v>
      </c>
      <c r="Q57" s="384">
        <f t="shared" si="34"/>
        <v>77</v>
      </c>
      <c r="R57" s="384">
        <f t="shared" si="34"/>
        <v>80</v>
      </c>
      <c r="S57" s="384">
        <f t="shared" si="34"/>
        <v>97</v>
      </c>
    </row>
    <row r="58" spans="1:19" s="291" customFormat="1" ht="15" customHeight="1">
      <c r="A58" s="383" t="s">
        <v>585</v>
      </c>
      <c r="B58" s="383" t="s">
        <v>580</v>
      </c>
      <c r="C58" s="384">
        <f t="shared" ref="C58:S58" si="35">C38/1000</f>
        <v>78</v>
      </c>
      <c r="D58" s="384">
        <f t="shared" si="35"/>
        <v>85</v>
      </c>
      <c r="E58" s="384">
        <f t="shared" si="35"/>
        <v>92</v>
      </c>
      <c r="F58" s="384">
        <f t="shared" si="35"/>
        <v>91</v>
      </c>
      <c r="G58" s="384">
        <f t="shared" si="35"/>
        <v>89</v>
      </c>
      <c r="H58" s="384">
        <f t="shared" si="35"/>
        <v>101</v>
      </c>
      <c r="I58" s="384">
        <f t="shared" si="35"/>
        <v>97</v>
      </c>
      <c r="J58" s="384">
        <f t="shared" si="35"/>
        <v>110</v>
      </c>
      <c r="K58" s="384">
        <f t="shared" si="35"/>
        <v>107</v>
      </c>
      <c r="L58" s="384">
        <f t="shared" si="35"/>
        <v>114</v>
      </c>
      <c r="M58" s="384">
        <f t="shared" si="35"/>
        <v>112</v>
      </c>
      <c r="N58" s="384">
        <f t="shared" si="35"/>
        <v>110</v>
      </c>
      <c r="O58" s="384">
        <f t="shared" si="35"/>
        <v>122</v>
      </c>
      <c r="P58" s="384">
        <f t="shared" si="35"/>
        <v>104</v>
      </c>
      <c r="Q58" s="384">
        <f t="shared" si="35"/>
        <v>116</v>
      </c>
      <c r="R58" s="384">
        <f t="shared" si="35"/>
        <v>127</v>
      </c>
      <c r="S58" s="384">
        <f t="shared" si="35"/>
        <v>120</v>
      </c>
    </row>
    <row r="59" spans="1:19" s="291" customFormat="1" ht="15" customHeight="1">
      <c r="A59" s="383" t="s">
        <v>586</v>
      </c>
      <c r="B59" s="383" t="s">
        <v>581</v>
      </c>
      <c r="C59" s="384">
        <f t="shared" ref="C59:S59" si="36">C39/1000</f>
        <v>88</v>
      </c>
      <c r="D59" s="384">
        <f t="shared" si="36"/>
        <v>92</v>
      </c>
      <c r="E59" s="384">
        <f t="shared" si="36"/>
        <v>93</v>
      </c>
      <c r="F59" s="384">
        <f t="shared" si="36"/>
        <v>99</v>
      </c>
      <c r="G59" s="384">
        <f t="shared" si="36"/>
        <v>94</v>
      </c>
      <c r="H59" s="384">
        <f t="shared" si="36"/>
        <v>96</v>
      </c>
      <c r="I59" s="384">
        <f t="shared" si="36"/>
        <v>97</v>
      </c>
      <c r="J59" s="384">
        <f t="shared" si="36"/>
        <v>99</v>
      </c>
      <c r="K59" s="384">
        <f t="shared" si="36"/>
        <v>94</v>
      </c>
      <c r="L59" s="384">
        <f t="shared" si="36"/>
        <v>98</v>
      </c>
      <c r="M59" s="384">
        <f t="shared" si="36"/>
        <v>101</v>
      </c>
      <c r="N59" s="384">
        <f t="shared" si="36"/>
        <v>95</v>
      </c>
      <c r="O59" s="384">
        <f t="shared" si="36"/>
        <v>89</v>
      </c>
      <c r="P59" s="384">
        <f t="shared" si="36"/>
        <v>85</v>
      </c>
      <c r="Q59" s="384">
        <f t="shared" si="36"/>
        <v>100</v>
      </c>
      <c r="R59" s="384">
        <f t="shared" si="36"/>
        <v>108</v>
      </c>
      <c r="S59" s="384">
        <f t="shared" si="36"/>
        <v>110</v>
      </c>
    </row>
    <row r="60" spans="1:19" s="291" customFormat="1" ht="15" customHeight="1">
      <c r="A60" s="383" t="s">
        <v>587</v>
      </c>
      <c r="B60" s="383" t="s">
        <v>582</v>
      </c>
      <c r="C60" s="384">
        <f t="shared" ref="C60:L60" si="37">(C36+C45)/1000</f>
        <v>57</v>
      </c>
      <c r="D60" s="384">
        <f t="shared" si="37"/>
        <v>48</v>
      </c>
      <c r="E60" s="384">
        <f t="shared" si="37"/>
        <v>64</v>
      </c>
      <c r="F60" s="384">
        <f t="shared" si="37"/>
        <v>58</v>
      </c>
      <c r="G60" s="384">
        <f t="shared" si="37"/>
        <v>70</v>
      </c>
      <c r="H60" s="384">
        <f t="shared" si="37"/>
        <v>72</v>
      </c>
      <c r="I60" s="384">
        <f t="shared" si="37"/>
        <v>80</v>
      </c>
      <c r="J60" s="384">
        <f t="shared" si="37"/>
        <v>42</v>
      </c>
      <c r="K60" s="384">
        <f t="shared" si="37"/>
        <v>77</v>
      </c>
      <c r="L60" s="384">
        <f t="shared" si="37"/>
        <v>63</v>
      </c>
      <c r="M60" s="384">
        <f>(M36+M45)/1000-1</f>
        <v>75</v>
      </c>
      <c r="N60" s="384">
        <f t="shared" ref="N60:S60" si="38">(N36+N45)/1000</f>
        <v>87</v>
      </c>
      <c r="O60" s="384">
        <f t="shared" si="38"/>
        <v>64</v>
      </c>
      <c r="P60" s="384">
        <f t="shared" si="38"/>
        <v>80</v>
      </c>
      <c r="Q60" s="384">
        <f t="shared" si="38"/>
        <v>100</v>
      </c>
      <c r="R60" s="384">
        <f t="shared" si="38"/>
        <v>78</v>
      </c>
      <c r="S60" s="384">
        <f t="shared" si="38"/>
        <v>95</v>
      </c>
    </row>
    <row r="61" spans="1:19" s="291" customFormat="1" ht="15" customHeight="1">
      <c r="A61" s="383" t="s">
        <v>57</v>
      </c>
      <c r="B61" s="383" t="s">
        <v>583</v>
      </c>
      <c r="C61" s="384">
        <f t="shared" ref="C61:L61" si="39">C43/1000</f>
        <v>49</v>
      </c>
      <c r="D61" s="384">
        <f t="shared" si="39"/>
        <v>54</v>
      </c>
      <c r="E61" s="384">
        <f t="shared" si="39"/>
        <v>48</v>
      </c>
      <c r="F61" s="384">
        <f t="shared" si="39"/>
        <v>47</v>
      </c>
      <c r="G61" s="384">
        <f t="shared" si="39"/>
        <v>48</v>
      </c>
      <c r="H61" s="384">
        <f t="shared" si="39"/>
        <v>52</v>
      </c>
      <c r="I61" s="384">
        <f t="shared" si="39"/>
        <v>45</v>
      </c>
      <c r="J61" s="384">
        <f t="shared" si="39"/>
        <v>37</v>
      </c>
      <c r="K61" s="384">
        <f t="shared" si="39"/>
        <v>44</v>
      </c>
      <c r="L61" s="384">
        <f t="shared" si="39"/>
        <v>53</v>
      </c>
      <c r="M61" s="384">
        <f t="shared" ref="M61:R61" si="40">M43/1000</f>
        <v>53</v>
      </c>
      <c r="N61" s="384">
        <f t="shared" si="40"/>
        <v>53</v>
      </c>
      <c r="O61" s="384">
        <f t="shared" si="40"/>
        <v>56</v>
      </c>
      <c r="P61" s="384">
        <f t="shared" si="40"/>
        <v>44</v>
      </c>
      <c r="Q61" s="384">
        <f t="shared" si="40"/>
        <v>53</v>
      </c>
      <c r="R61" s="384">
        <f t="shared" si="40"/>
        <v>50</v>
      </c>
      <c r="S61" s="384">
        <f t="shared" ref="S61" si="41">S43/1000</f>
        <v>49</v>
      </c>
    </row>
    <row r="62" spans="1:19" s="291" customFormat="1" ht="15" customHeight="1">
      <c r="A62" s="383" t="s">
        <v>215</v>
      </c>
      <c r="B62" s="383" t="s">
        <v>45</v>
      </c>
      <c r="C62" s="384">
        <f>(C47+C40+C46)/1000+1</f>
        <v>24</v>
      </c>
      <c r="D62" s="384">
        <f>(D47+D40+D46)/1000+1</f>
        <v>30</v>
      </c>
      <c r="E62" s="384">
        <f>(E47+E40+E46)/1000-1</f>
        <v>32</v>
      </c>
      <c r="F62" s="384">
        <f>(F47+F40+F46)/1000+1</f>
        <v>25</v>
      </c>
      <c r="G62" s="384">
        <f>(G47+G40+G46)/1000+1</f>
        <v>29</v>
      </c>
      <c r="H62" s="384">
        <f>(H47+H40+H46)/1000-1</f>
        <v>24</v>
      </c>
      <c r="I62" s="384">
        <f>(I47+I40+I46)/1000-2</f>
        <v>23</v>
      </c>
      <c r="J62" s="384">
        <f t="shared" ref="J62:O62" si="42">(J47+J40+J46)/1000</f>
        <v>23</v>
      </c>
      <c r="K62" s="384">
        <f t="shared" si="42"/>
        <v>22</v>
      </c>
      <c r="L62" s="384">
        <f t="shared" si="42"/>
        <v>21</v>
      </c>
      <c r="M62" s="384">
        <f t="shared" si="42"/>
        <v>21</v>
      </c>
      <c r="N62" s="384">
        <f t="shared" si="42"/>
        <v>22</v>
      </c>
      <c r="O62" s="384">
        <f t="shared" si="42"/>
        <v>28</v>
      </c>
      <c r="P62" s="384">
        <f t="shared" ref="P62:Q62" si="43">(P47+P40+P46)/1000</f>
        <v>23</v>
      </c>
      <c r="Q62" s="384">
        <f t="shared" si="43"/>
        <v>19</v>
      </c>
      <c r="R62" s="384">
        <f t="shared" ref="R62:S62" si="44">(R47+R40+R46)/1000</f>
        <v>17</v>
      </c>
      <c r="S62" s="384">
        <f t="shared" si="44"/>
        <v>27</v>
      </c>
    </row>
    <row r="63" spans="1:19" ht="15" customHeight="1">
      <c r="A63" s="386" t="s">
        <v>58</v>
      </c>
      <c r="B63" s="386" t="s">
        <v>43</v>
      </c>
      <c r="C63" s="387">
        <f>SUM(C53:C62)</f>
        <v>475</v>
      </c>
      <c r="D63" s="387">
        <f t="shared" ref="D63:M63" si="45">SUM(D53:D62)</f>
        <v>495</v>
      </c>
      <c r="E63" s="387">
        <f t="shared" si="45"/>
        <v>527</v>
      </c>
      <c r="F63" s="387">
        <f t="shared" si="45"/>
        <v>515</v>
      </c>
      <c r="G63" s="387">
        <f t="shared" si="45"/>
        <v>515</v>
      </c>
      <c r="H63" s="387">
        <f t="shared" si="45"/>
        <v>529</v>
      </c>
      <c r="I63" s="387">
        <f t="shared" si="45"/>
        <v>516</v>
      </c>
      <c r="J63" s="387">
        <f t="shared" si="45"/>
        <v>497</v>
      </c>
      <c r="K63" s="387">
        <f t="shared" si="45"/>
        <v>520</v>
      </c>
      <c r="L63" s="387">
        <f t="shared" si="45"/>
        <v>522</v>
      </c>
      <c r="M63" s="387">
        <f t="shared" si="45"/>
        <v>544</v>
      </c>
      <c r="N63" s="387">
        <f t="shared" ref="N63:S63" si="46">SUM(N53:N62)</f>
        <v>542</v>
      </c>
      <c r="O63" s="387">
        <f t="shared" si="46"/>
        <v>540</v>
      </c>
      <c r="P63" s="387">
        <f t="shared" si="46"/>
        <v>492</v>
      </c>
      <c r="Q63" s="387">
        <f t="shared" si="46"/>
        <v>552</v>
      </c>
      <c r="R63" s="387">
        <f t="shared" si="46"/>
        <v>568</v>
      </c>
      <c r="S63" s="387">
        <f t="shared" si="46"/>
        <v>612</v>
      </c>
    </row>
    <row r="64" spans="1:19" s="29" customFormat="1" ht="15" customHeight="1">
      <c r="C64" s="395"/>
      <c r="D64" s="395"/>
      <c r="E64" s="395"/>
      <c r="F64" s="395"/>
      <c r="G64" s="395"/>
      <c r="H64" s="395"/>
      <c r="I64" s="395"/>
      <c r="J64" s="395"/>
      <c r="K64" s="395"/>
      <c r="L64" s="395"/>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sheetData>
  <customSheetViews>
    <customSheetView guid="{2A0EA35A-7F53-4AD8-895C-C234D094A4A4}" scale="70" showGridLines="0" fitToPage="1" showRuler="0">
      <selection activeCell="B81" sqref="B81"/>
      <pageMargins left="0.75" right="0.75" top="1" bottom="1" header="0.5" footer="0.5"/>
      <pageSetup paperSize="9" scale="71" fitToHeight="0" orientation="landscape" r:id="rId1"/>
      <headerFooter alignWithMargins="0"/>
    </customSheetView>
    <customSheetView guid="{8DA78CF1-615A-4626-9893-6751995631A4}" scale="70" showGridLines="0" fitToPage="1" showRuler="0" topLeftCell="L1">
      <selection activeCell="S78" sqref="S78"/>
      <pageMargins left="0.75" right="0.75" top="1" bottom="1" header="0.5" footer="0.5"/>
      <pageSetup paperSize="9" scale="71" fitToHeight="0" orientation="landscape" r:id="rId2"/>
      <headerFooter alignWithMargins="0"/>
    </customSheetView>
    <customSheetView guid="{899D69CD-4B7E-42BC-9944-5BD922EB798C}" scale="96" fitToPage="1" hiddenColumns="1" topLeftCell="B1">
      <selection activeCell="R12" sqref="R12"/>
      <pageMargins left="0.75" right="0.75" top="1" bottom="1" header="0.5" footer="0.5"/>
      <pageSetup paperSize="9" scale="71" fitToHeight="0" orientation="landscape" r:id="rId3"/>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4"/>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5"/>
      <headerFooter alignWithMargins="0"/>
    </customSheetView>
    <customSheetView guid="{687A4863-1825-4D63-B732-E76682E6DE4F}" scale="78" showGridLines="0" fitToPage="1" showRuler="0" topLeftCell="F1">
      <selection activeCell="M68" sqref="M68"/>
      <pageMargins left="0.75" right="0.75" top="1" bottom="1" header="0.5" footer="0.5"/>
      <pageSetup paperSize="9" scale="71" fitToHeight="0" orientation="landscape" r:id="rId6"/>
      <headerFooter alignWithMargins="0"/>
    </customSheetView>
    <customSheetView guid="{9AF4A83C-CF57-4B40-8A74-6A0EA6C2FE5C}" scale="70" showGridLines="0" fitToPage="1" showRuler="0">
      <selection activeCell="B81" sqref="B81"/>
      <pageMargins left="0.75" right="0.75" top="1" bottom="1" header="0.5" footer="0.5"/>
      <pageSetup paperSize="9" scale="71" fitToHeight="0" orientation="landscape" r:id="rId7"/>
      <headerFooter alignWithMargins="0"/>
    </customSheetView>
    <customSheetView guid="{12F8D032-8143-430B-8DFF-852E8796C402}" scale="78" showGridLines="0" fitToPage="1" showRuler="0" topLeftCell="B1">
      <selection activeCell="Q1" sqref="Q1:R1048576"/>
      <pageMargins left="0.75" right="0.75" top="1" bottom="1" header="0.5" footer="0.5"/>
      <pageSetup paperSize="9" scale="71" fitToHeight="0" orientation="landscape" r:id="rId8"/>
      <headerFooter alignWithMargins="0"/>
    </customSheetView>
  </customSheetViews>
  <pageMargins left="0.75" right="0.75" top="1" bottom="1" header="0.5" footer="0.5"/>
  <pageSetup paperSize="9" scale="71" fitToHeight="0" orientation="landscape" r:id="rId9"/>
  <headerFooter alignWithMargins="0"/>
  <ignoredErrors>
    <ignoredError sqref="C41:N9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showRuler="0" zoomScale="88" zoomScaleNormal="88" workbookViewId="0">
      <pane xSplit="2" topLeftCell="G1" activePane="topRight" state="frozen"/>
      <selection pane="topRight" activeCell="J8" sqref="J8"/>
    </sheetView>
  </sheetViews>
  <sheetFormatPr defaultColWidth="9.140625" defaultRowHeight="14.25"/>
  <cols>
    <col min="1" max="2" width="50.85546875" style="71" customWidth="1"/>
    <col min="3" max="6" width="13.42578125" style="71" customWidth="1"/>
    <col min="7" max="19" width="13.85546875" style="71" customWidth="1"/>
    <col min="20" max="20" width="9.5703125" style="71" bestFit="1" customWidth="1"/>
    <col min="21" max="16384" width="9.140625" style="71"/>
  </cols>
  <sheetData>
    <row r="1" spans="1:19" ht="15" customHeight="1" thickBot="1">
      <c r="A1" s="44" t="s">
        <v>59</v>
      </c>
      <c r="B1" s="44" t="s">
        <v>357</v>
      </c>
      <c r="C1" s="78" t="s">
        <v>188</v>
      </c>
      <c r="D1" s="78" t="s">
        <v>189</v>
      </c>
      <c r="E1" s="78" t="s">
        <v>190</v>
      </c>
      <c r="F1" s="78" t="s">
        <v>191</v>
      </c>
      <c r="G1" s="78" t="s">
        <v>192</v>
      </c>
      <c r="H1" s="78" t="s">
        <v>193</v>
      </c>
      <c r="I1" s="78" t="s">
        <v>194</v>
      </c>
      <c r="J1" s="78" t="s">
        <v>195</v>
      </c>
      <c r="K1" s="78" t="s">
        <v>196</v>
      </c>
      <c r="L1" s="78" t="s">
        <v>197</v>
      </c>
      <c r="M1" s="78" t="s">
        <v>594</v>
      </c>
      <c r="N1" s="78" t="s">
        <v>603</v>
      </c>
      <c r="O1" s="402" t="s">
        <v>638</v>
      </c>
      <c r="P1" s="414" t="s">
        <v>642</v>
      </c>
      <c r="Q1" s="434" t="s">
        <v>651</v>
      </c>
      <c r="R1" s="414" t="s">
        <v>662</v>
      </c>
      <c r="S1" s="414" t="s">
        <v>672</v>
      </c>
    </row>
    <row r="2" spans="1:19" ht="15" customHeight="1">
      <c r="A2" s="79" t="s">
        <v>225</v>
      </c>
      <c r="B2" s="74" t="s">
        <v>358</v>
      </c>
      <c r="C2" s="355">
        <v>-313223</v>
      </c>
      <c r="D2" s="355">
        <v>-317819</v>
      </c>
      <c r="E2" s="355">
        <v>-325457</v>
      </c>
      <c r="F2" s="355">
        <v>-336586</v>
      </c>
      <c r="G2" s="355">
        <v>-324869</v>
      </c>
      <c r="H2" s="355">
        <v>-336786</v>
      </c>
      <c r="I2" s="355">
        <v>-355258</v>
      </c>
      <c r="J2" s="355">
        <v>-387929</v>
      </c>
      <c r="K2" s="356">
        <v>-365099</v>
      </c>
      <c r="L2" s="356">
        <v>-373083</v>
      </c>
      <c r="M2" s="356">
        <v>-364128</v>
      </c>
      <c r="N2" s="356">
        <v>-373797</v>
      </c>
      <c r="O2" s="403">
        <v>-360903</v>
      </c>
      <c r="P2" s="403">
        <v>-277620</v>
      </c>
      <c r="Q2" s="435">
        <v>-330755</v>
      </c>
      <c r="R2" s="435">
        <v>-338126</v>
      </c>
      <c r="S2" s="435">
        <v>-334667</v>
      </c>
    </row>
    <row r="3" spans="1:19" ht="15" customHeight="1">
      <c r="A3" s="79" t="s">
        <v>229</v>
      </c>
      <c r="B3" s="74" t="s">
        <v>359</v>
      </c>
      <c r="C3" s="355">
        <v>-58065</v>
      </c>
      <c r="D3" s="355">
        <v>-55758</v>
      </c>
      <c r="E3" s="355">
        <v>-53343</v>
      </c>
      <c r="F3" s="355">
        <v>-49767</v>
      </c>
      <c r="G3" s="355">
        <v>-59367</v>
      </c>
      <c r="H3" s="355">
        <v>-58364</v>
      </c>
      <c r="I3" s="355">
        <v>-57479</v>
      </c>
      <c r="J3" s="355">
        <v>-58166</v>
      </c>
      <c r="K3" s="356">
        <v>-68093</v>
      </c>
      <c r="L3" s="356">
        <v>-64931</v>
      </c>
      <c r="M3" s="356">
        <v>-59348</v>
      </c>
      <c r="N3" s="356">
        <v>-48002</v>
      </c>
      <c r="O3" s="403">
        <v>-67574</v>
      </c>
      <c r="P3" s="403">
        <v>-50989</v>
      </c>
      <c r="Q3" s="435">
        <v>-57115</v>
      </c>
      <c r="R3" s="435">
        <v>-52763</v>
      </c>
      <c r="S3" s="435">
        <v>-64097</v>
      </c>
    </row>
    <row r="4" spans="1:19" ht="15" customHeight="1">
      <c r="A4" s="79" t="s">
        <v>606</v>
      </c>
      <c r="B4" s="74" t="s">
        <v>607</v>
      </c>
      <c r="C4" s="355"/>
      <c r="D4" s="355">
        <v>0</v>
      </c>
      <c r="E4" s="355">
        <v>0</v>
      </c>
      <c r="F4" s="355">
        <v>0</v>
      </c>
      <c r="G4" s="355">
        <v>0</v>
      </c>
      <c r="H4" s="355">
        <v>0</v>
      </c>
      <c r="I4" s="355">
        <v>0</v>
      </c>
      <c r="J4" s="355">
        <v>0</v>
      </c>
      <c r="K4" s="355">
        <v>0</v>
      </c>
      <c r="L4" s="355">
        <v>0</v>
      </c>
      <c r="M4" s="355">
        <v>0</v>
      </c>
      <c r="N4" s="356">
        <v>-1661</v>
      </c>
      <c r="O4" s="403">
        <v>-2389</v>
      </c>
      <c r="P4" s="403">
        <v>-2366</v>
      </c>
      <c r="Q4" s="435">
        <v>-2274</v>
      </c>
      <c r="R4" s="435">
        <v>-2189</v>
      </c>
      <c r="S4" s="435">
        <v>-2239</v>
      </c>
    </row>
    <row r="5" spans="1:19" ht="15" customHeight="1">
      <c r="A5" s="79" t="s">
        <v>226</v>
      </c>
      <c r="B5" s="74" t="s">
        <v>360</v>
      </c>
      <c r="C5" s="355">
        <v>-2480</v>
      </c>
      <c r="D5" s="355">
        <v>-5022</v>
      </c>
      <c r="E5" s="355">
        <v>-2827</v>
      </c>
      <c r="F5" s="355">
        <v>-8401</v>
      </c>
      <c r="G5" s="355">
        <v>-2877</v>
      </c>
      <c r="H5" s="355">
        <v>-4740</v>
      </c>
      <c r="I5" s="355">
        <v>-3271</v>
      </c>
      <c r="J5" s="355">
        <v>-9982</v>
      </c>
      <c r="K5" s="356">
        <v>-2527</v>
      </c>
      <c r="L5" s="356">
        <v>-4323</v>
      </c>
      <c r="M5" s="356">
        <v>-4051</v>
      </c>
      <c r="N5" s="356">
        <v>-8809</v>
      </c>
      <c r="O5" s="403">
        <v>-2388</v>
      </c>
      <c r="P5" s="403">
        <v>-94</v>
      </c>
      <c r="Q5" s="435">
        <v>-2080</v>
      </c>
      <c r="R5" s="435">
        <v>-2545</v>
      </c>
      <c r="S5" s="435">
        <v>-1524</v>
      </c>
    </row>
    <row r="6" spans="1:19" ht="15" customHeight="1">
      <c r="A6" s="79" t="s">
        <v>227</v>
      </c>
      <c r="B6" s="74" t="s">
        <v>361</v>
      </c>
      <c r="C6" s="355">
        <v>-8395</v>
      </c>
      <c r="D6" s="355">
        <v>-9900</v>
      </c>
      <c r="E6" s="355">
        <v>-8782</v>
      </c>
      <c r="F6" s="355">
        <v>-12628</v>
      </c>
      <c r="G6" s="355">
        <v>-8299</v>
      </c>
      <c r="H6" s="355">
        <v>-9594</v>
      </c>
      <c r="I6" s="355">
        <v>-9548</v>
      </c>
      <c r="J6" s="355">
        <v>-13044</v>
      </c>
      <c r="K6" s="356">
        <v>-8896</v>
      </c>
      <c r="L6" s="356">
        <v>-9476</v>
      </c>
      <c r="M6" s="356">
        <v>-9990</v>
      </c>
      <c r="N6" s="356">
        <v>-11297</v>
      </c>
      <c r="O6" s="403">
        <v>-8659</v>
      </c>
      <c r="P6" s="403">
        <v>-9083</v>
      </c>
      <c r="Q6" s="435">
        <v>-9122</v>
      </c>
      <c r="R6" s="435">
        <v>-19255</v>
      </c>
      <c r="S6" s="435">
        <v>-8184</v>
      </c>
    </row>
    <row r="7" spans="1:19" ht="15" customHeight="1">
      <c r="A7" s="79" t="s">
        <v>228</v>
      </c>
      <c r="B7" s="88" t="s">
        <v>362</v>
      </c>
      <c r="C7" s="355">
        <v>-624</v>
      </c>
      <c r="D7" s="355">
        <v>-620</v>
      </c>
      <c r="E7" s="355">
        <v>-625</v>
      </c>
      <c r="F7" s="355">
        <v>7705</v>
      </c>
      <c r="G7" s="355">
        <v>-579</v>
      </c>
      <c r="H7" s="355">
        <v>16487</v>
      </c>
      <c r="I7" s="355">
        <v>-205</v>
      </c>
      <c r="J7" s="355">
        <v>13428</v>
      </c>
      <c r="K7" s="356">
        <v>-5</v>
      </c>
      <c r="L7" s="356">
        <v>-4</v>
      </c>
      <c r="M7" s="356">
        <v>-115</v>
      </c>
      <c r="N7" s="356">
        <v>7687</v>
      </c>
      <c r="O7" s="403">
        <v>-138</v>
      </c>
      <c r="P7" s="403">
        <v>-412</v>
      </c>
      <c r="Q7" s="435">
        <v>-4</v>
      </c>
      <c r="R7" s="435">
        <v>8345</v>
      </c>
      <c r="S7" s="435">
        <v>-5</v>
      </c>
    </row>
    <row r="8" spans="1:19" ht="15" customHeight="1">
      <c r="A8" s="79" t="s">
        <v>230</v>
      </c>
      <c r="B8" s="74" t="s">
        <v>363</v>
      </c>
      <c r="C8" s="355">
        <v>0</v>
      </c>
      <c r="D8" s="355">
        <v>0</v>
      </c>
      <c r="E8" s="355">
        <v>0</v>
      </c>
      <c r="F8" s="355">
        <v>0</v>
      </c>
      <c r="G8" s="355">
        <v>0</v>
      </c>
      <c r="H8" s="355">
        <v>0</v>
      </c>
      <c r="I8" s="355">
        <v>0</v>
      </c>
      <c r="J8" s="355">
        <v>0</v>
      </c>
      <c r="K8" s="356">
        <v>-80000</v>
      </c>
      <c r="L8" s="356">
        <v>-6320</v>
      </c>
      <c r="M8" s="356">
        <v>-1860</v>
      </c>
      <c r="N8" s="356">
        <v>-11630</v>
      </c>
      <c r="O8" s="403">
        <v>-5612</v>
      </c>
      <c r="P8" s="403">
        <v>-5500</v>
      </c>
      <c r="Q8" s="435">
        <v>-4313</v>
      </c>
      <c r="R8" s="435">
        <v>-138161</v>
      </c>
      <c r="S8" s="435">
        <v>0</v>
      </c>
    </row>
    <row r="9" spans="1:19" s="2" customFormat="1" ht="15" customHeight="1">
      <c r="A9" s="93" t="s">
        <v>355</v>
      </c>
      <c r="B9" s="93" t="s">
        <v>364</v>
      </c>
      <c r="C9" s="193">
        <f t="shared" ref="C9:L9" si="0">SUM(C2:C8)</f>
        <v>-382787</v>
      </c>
      <c r="D9" s="193">
        <f t="shared" si="0"/>
        <v>-389119</v>
      </c>
      <c r="E9" s="193">
        <f t="shared" si="0"/>
        <v>-391034</v>
      </c>
      <c r="F9" s="193">
        <f t="shared" si="0"/>
        <v>-399677</v>
      </c>
      <c r="G9" s="193">
        <f t="shared" si="0"/>
        <v>-395991</v>
      </c>
      <c r="H9" s="193">
        <f t="shared" si="0"/>
        <v>-392997</v>
      </c>
      <c r="I9" s="193">
        <f t="shared" si="0"/>
        <v>-425761</v>
      </c>
      <c r="J9" s="193">
        <f t="shared" si="0"/>
        <v>-455693</v>
      </c>
      <c r="K9" s="357">
        <f t="shared" si="0"/>
        <v>-524620</v>
      </c>
      <c r="L9" s="357">
        <f t="shared" si="0"/>
        <v>-458137</v>
      </c>
      <c r="M9" s="357">
        <f t="shared" ref="M9:R9" si="1">SUM(M2:M8)</f>
        <v>-439492</v>
      </c>
      <c r="N9" s="357">
        <f t="shared" si="1"/>
        <v>-447509</v>
      </c>
      <c r="O9" s="404">
        <f t="shared" si="1"/>
        <v>-447663</v>
      </c>
      <c r="P9" s="404">
        <f t="shared" si="1"/>
        <v>-346064</v>
      </c>
      <c r="Q9" s="436">
        <f t="shared" si="1"/>
        <v>-405663</v>
      </c>
      <c r="R9" s="436">
        <f t="shared" si="1"/>
        <v>-544694</v>
      </c>
      <c r="S9" s="436">
        <f t="shared" ref="S9" si="2">SUM(S2:S8)</f>
        <v>-410716</v>
      </c>
    </row>
    <row r="10" spans="1:19" ht="15" customHeight="1">
      <c r="A10" s="80"/>
      <c r="B10" s="73"/>
    </row>
    <row r="11" spans="1:19" ht="15" customHeight="1">
      <c r="A11" s="353"/>
      <c r="B11" s="354"/>
    </row>
    <row r="12" spans="1:19" ht="15" customHeight="1" thickBot="1">
      <c r="A12" s="235" t="s">
        <v>354</v>
      </c>
      <c r="B12" s="235" t="s">
        <v>365</v>
      </c>
      <c r="C12" s="78" t="s">
        <v>115</v>
      </c>
      <c r="D12" s="78" t="s">
        <v>111</v>
      </c>
      <c r="E12" s="78" t="s">
        <v>116</v>
      </c>
      <c r="F12" s="78" t="s">
        <v>117</v>
      </c>
      <c r="G12" s="78" t="s">
        <v>118</v>
      </c>
      <c r="H12" s="78" t="s">
        <v>136</v>
      </c>
      <c r="I12" s="78" t="s">
        <v>137</v>
      </c>
      <c r="J12" s="78" t="s">
        <v>146</v>
      </c>
      <c r="K12" s="78" t="s">
        <v>155</v>
      </c>
      <c r="L12" s="78" t="s">
        <v>559</v>
      </c>
      <c r="M12" s="78" t="str">
        <f t="shared" ref="M12:R12" si="3">M1</f>
        <v>III Q 2019</v>
      </c>
      <c r="N12" s="78" t="str">
        <f t="shared" si="3"/>
        <v>IV Q 2019</v>
      </c>
      <c r="O12" s="402" t="str">
        <f t="shared" si="3"/>
        <v>I Q 2020</v>
      </c>
      <c r="P12" s="402" t="str">
        <f t="shared" si="3"/>
        <v>II Q 2020</v>
      </c>
      <c r="Q12" s="434" t="str">
        <f t="shared" si="3"/>
        <v>III Q 2020</v>
      </c>
      <c r="R12" s="434" t="str">
        <f t="shared" si="3"/>
        <v>IV Q 2020</v>
      </c>
      <c r="S12" s="434" t="str">
        <f t="shared" ref="S12" si="4">S1</f>
        <v>I Q 2021</v>
      </c>
    </row>
    <row r="13" spans="1:19" ht="15" customHeight="1">
      <c r="A13" s="79" t="s">
        <v>231</v>
      </c>
      <c r="B13" s="74" t="s">
        <v>371</v>
      </c>
      <c r="C13" s="75">
        <v>-12876</v>
      </c>
      <c r="D13" s="75">
        <v>-11748</v>
      </c>
      <c r="E13" s="75">
        <v>-14672</v>
      </c>
      <c r="F13" s="75">
        <v>-13615</v>
      </c>
      <c r="G13" s="75">
        <v>-12855</v>
      </c>
      <c r="H13" s="75">
        <v>-20043</v>
      </c>
      <c r="I13" s="75">
        <v>-15324</v>
      </c>
      <c r="J13" s="75">
        <v>-16474</v>
      </c>
      <c r="K13" s="257">
        <v>-15747</v>
      </c>
      <c r="L13" s="257">
        <v>-15742</v>
      </c>
      <c r="M13" s="257">
        <v>-14422</v>
      </c>
      <c r="N13" s="257">
        <v>-20634</v>
      </c>
      <c r="O13" s="408">
        <v>-17218</v>
      </c>
      <c r="P13" s="408">
        <v>-16581</v>
      </c>
      <c r="Q13" s="437">
        <v>-15476</v>
      </c>
      <c r="R13" s="437">
        <v>-14520</v>
      </c>
      <c r="S13" s="437">
        <v>-13753</v>
      </c>
    </row>
    <row r="14" spans="1:19" ht="15" customHeight="1">
      <c r="A14" s="79" t="s">
        <v>232</v>
      </c>
      <c r="B14" s="74" t="s">
        <v>372</v>
      </c>
      <c r="C14" s="75">
        <v>-54010</v>
      </c>
      <c r="D14" s="75">
        <v>-54373</v>
      </c>
      <c r="E14" s="75">
        <v>-54775</v>
      </c>
      <c r="F14" s="75">
        <v>-49889</v>
      </c>
      <c r="G14" s="75">
        <v>-60331</v>
      </c>
      <c r="H14" s="75">
        <v>-80520</v>
      </c>
      <c r="I14" s="75">
        <v>-75179</v>
      </c>
      <c r="J14" s="75">
        <v>-28406</v>
      </c>
      <c r="K14" s="257">
        <v>-77507</v>
      </c>
      <c r="L14" s="257">
        <v>-78060</v>
      </c>
      <c r="M14" s="257">
        <v>-80745</v>
      </c>
      <c r="N14" s="257">
        <v>-72028</v>
      </c>
      <c r="O14" s="408">
        <v>-82364</v>
      </c>
      <c r="P14" s="408">
        <v>-84587</v>
      </c>
      <c r="Q14" s="437">
        <v>-81851</v>
      </c>
      <c r="R14" s="437">
        <v>-81644</v>
      </c>
      <c r="S14" s="437">
        <v>-93543</v>
      </c>
    </row>
    <row r="15" spans="1:19" ht="15" customHeight="1">
      <c r="A15" s="79" t="s">
        <v>233</v>
      </c>
      <c r="B15" s="74" t="s">
        <v>623</v>
      </c>
      <c r="C15" s="75">
        <v>-13314</v>
      </c>
      <c r="D15" s="75">
        <v>-11378</v>
      </c>
      <c r="E15" s="75">
        <v>-13908</v>
      </c>
      <c r="F15" s="75">
        <v>-26974</v>
      </c>
      <c r="G15" s="75">
        <v>-18862</v>
      </c>
      <c r="H15" s="75">
        <v>-23433</v>
      </c>
      <c r="I15" s="75">
        <v>-20063</v>
      </c>
      <c r="J15" s="75">
        <v>-27315</v>
      </c>
      <c r="K15" s="257">
        <v>-14522</v>
      </c>
      <c r="L15" s="257">
        <v>-21059</v>
      </c>
      <c r="M15" s="257">
        <v>-22522</v>
      </c>
      <c r="N15" s="257">
        <v>-14322</v>
      </c>
      <c r="O15" s="408">
        <v>-15713</v>
      </c>
      <c r="P15" s="408">
        <v>-20785</v>
      </c>
      <c r="Q15" s="437">
        <v>-22874</v>
      </c>
      <c r="R15" s="437">
        <v>-23009</v>
      </c>
      <c r="S15" s="437">
        <v>-15002</v>
      </c>
    </row>
    <row r="16" spans="1:19" ht="15" customHeight="1">
      <c r="A16" s="79" t="s">
        <v>234</v>
      </c>
      <c r="B16" s="74" t="s">
        <v>373</v>
      </c>
      <c r="C16" s="75">
        <v>-8126</v>
      </c>
      <c r="D16" s="75">
        <v>-8131</v>
      </c>
      <c r="E16" s="75">
        <v>-7509</v>
      </c>
      <c r="F16" s="75">
        <v>-9821</v>
      </c>
      <c r="G16" s="75">
        <v>-8507</v>
      </c>
      <c r="H16" s="75">
        <v>-9020</v>
      </c>
      <c r="I16" s="75">
        <v>-7254</v>
      </c>
      <c r="J16" s="75">
        <v>-12496</v>
      </c>
      <c r="K16" s="257">
        <v>-9635</v>
      </c>
      <c r="L16" s="257">
        <v>-10536</v>
      </c>
      <c r="M16" s="257">
        <v>-10717</v>
      </c>
      <c r="N16" s="257">
        <v>-8258</v>
      </c>
      <c r="O16" s="408">
        <v>-9171</v>
      </c>
      <c r="P16" s="408">
        <v>-11399</v>
      </c>
      <c r="Q16" s="437">
        <v>-10036</v>
      </c>
      <c r="R16" s="437">
        <v>-13178</v>
      </c>
      <c r="S16" s="437">
        <v>-9517</v>
      </c>
    </row>
    <row r="17" spans="1:20" ht="15" customHeight="1">
      <c r="A17" s="79" t="s">
        <v>235</v>
      </c>
      <c r="B17" s="74" t="s">
        <v>374</v>
      </c>
      <c r="C17" s="75">
        <v>-3587</v>
      </c>
      <c r="D17" s="75">
        <v>-3087</v>
      </c>
      <c r="E17" s="75">
        <v>-3900</v>
      </c>
      <c r="F17" s="75">
        <v>-3563</v>
      </c>
      <c r="G17" s="75">
        <v>-10808</v>
      </c>
      <c r="H17" s="75">
        <v>-7629</v>
      </c>
      <c r="I17" s="75">
        <v>-7325</v>
      </c>
      <c r="J17" s="75">
        <v>1587</v>
      </c>
      <c r="K17" s="257">
        <v>-958</v>
      </c>
      <c r="L17" s="257">
        <v>-4770</v>
      </c>
      <c r="M17" s="257">
        <v>-6920</v>
      </c>
      <c r="N17" s="257">
        <v>-1948</v>
      </c>
      <c r="O17" s="408">
        <v>-3114</v>
      </c>
      <c r="P17" s="408">
        <v>-1153</v>
      </c>
      <c r="Q17" s="437">
        <v>-1194</v>
      </c>
      <c r="R17" s="437">
        <v>-835</v>
      </c>
      <c r="S17" s="437">
        <v>-1588</v>
      </c>
    </row>
    <row r="18" spans="1:20" ht="15" customHeight="1">
      <c r="A18" s="79" t="s">
        <v>366</v>
      </c>
      <c r="B18" s="74" t="s">
        <v>375</v>
      </c>
      <c r="C18" s="75">
        <v>-20821</v>
      </c>
      <c r="D18" s="75">
        <v>-20231</v>
      </c>
      <c r="E18" s="75">
        <v>-23224</v>
      </c>
      <c r="F18" s="75">
        <v>-40340</v>
      </c>
      <c r="G18" s="75">
        <v>-36102</v>
      </c>
      <c r="H18" s="75">
        <v>-37999</v>
      </c>
      <c r="I18" s="75">
        <v>-31530</v>
      </c>
      <c r="J18" s="75">
        <v>-47374</v>
      </c>
      <c r="K18" s="257">
        <v>-40571</v>
      </c>
      <c r="L18" s="257">
        <v>-45574</v>
      </c>
      <c r="M18" s="257">
        <v>-41814</v>
      </c>
      <c r="N18" s="257">
        <v>-36375</v>
      </c>
      <c r="O18" s="408">
        <v>-39040</v>
      </c>
      <c r="P18" s="408">
        <v>-34056</v>
      </c>
      <c r="Q18" s="437">
        <v>-35076</v>
      </c>
      <c r="R18" s="437">
        <v>-29857</v>
      </c>
      <c r="S18" s="437">
        <v>-33345</v>
      </c>
    </row>
    <row r="19" spans="1:20" ht="15" customHeight="1">
      <c r="A19" s="79" t="s">
        <v>571</v>
      </c>
      <c r="B19" s="74" t="s">
        <v>376</v>
      </c>
      <c r="C19" s="75">
        <v>-6765</v>
      </c>
      <c r="D19" s="75">
        <v>-7098</v>
      </c>
      <c r="E19" s="75">
        <v>-7602</v>
      </c>
      <c r="F19" s="75">
        <v>-3821</v>
      </c>
      <c r="G19" s="75">
        <v>-7083</v>
      </c>
      <c r="H19" s="75">
        <v>-7698</v>
      </c>
      <c r="I19" s="75">
        <v>-6726</v>
      </c>
      <c r="J19" s="75">
        <v>-5849</v>
      </c>
      <c r="K19" s="257">
        <v>-7380</v>
      </c>
      <c r="L19" s="257">
        <v>-7650</v>
      </c>
      <c r="M19" s="257">
        <v>-7514</v>
      </c>
      <c r="N19" s="257">
        <v>-3184</v>
      </c>
      <c r="O19" s="408">
        <v>-5693</v>
      </c>
      <c r="P19" s="408">
        <v>-6815</v>
      </c>
      <c r="Q19" s="437">
        <v>-6187</v>
      </c>
      <c r="R19" s="437">
        <v>-6609</v>
      </c>
      <c r="S19" s="437">
        <v>-5901</v>
      </c>
    </row>
    <row r="20" spans="1:20" s="72" customFormat="1" ht="15" customHeight="1">
      <c r="A20" s="79" t="s">
        <v>367</v>
      </c>
      <c r="B20" s="243" t="s">
        <v>377</v>
      </c>
      <c r="C20" s="87">
        <v>-86295</v>
      </c>
      <c r="D20" s="87">
        <v>-87668</v>
      </c>
      <c r="E20" s="87">
        <v>-81112</v>
      </c>
      <c r="F20" s="87">
        <v>-93215</v>
      </c>
      <c r="G20" s="87">
        <v>-84167</v>
      </c>
      <c r="H20" s="87">
        <v>-84204</v>
      </c>
      <c r="I20" s="87">
        <v>-84653</v>
      </c>
      <c r="J20" s="87">
        <v>-93181</v>
      </c>
      <c r="K20" s="257">
        <v>-49625</v>
      </c>
      <c r="L20" s="257">
        <v>-34252</v>
      </c>
      <c r="M20" s="257">
        <v>-32849</v>
      </c>
      <c r="N20" s="257">
        <v>-12117</v>
      </c>
      <c r="O20" s="408">
        <v>-30257</v>
      </c>
      <c r="P20" s="408">
        <v>-38078</v>
      </c>
      <c r="Q20" s="437">
        <v>-31078</v>
      </c>
      <c r="R20" s="437">
        <v>-19179</v>
      </c>
      <c r="S20" s="437">
        <v>-27396</v>
      </c>
    </row>
    <row r="21" spans="1:20" ht="30" customHeight="1">
      <c r="A21" s="358" t="s">
        <v>236</v>
      </c>
      <c r="B21" s="88" t="s">
        <v>378</v>
      </c>
      <c r="C21" s="355">
        <v>-105152</v>
      </c>
      <c r="D21" s="355">
        <v>-70153</v>
      </c>
      <c r="E21" s="355">
        <v>-24541</v>
      </c>
      <c r="F21" s="355">
        <v>-24322</v>
      </c>
      <c r="G21" s="355">
        <v>-163630</v>
      </c>
      <c r="H21" s="355">
        <v>-3351</v>
      </c>
      <c r="I21" s="355">
        <v>-24742</v>
      </c>
      <c r="J21" s="355">
        <v>-28093</v>
      </c>
      <c r="K21" s="356">
        <v>-227995</v>
      </c>
      <c r="L21" s="356">
        <v>-29111</v>
      </c>
      <c r="M21" s="356">
        <v>-28041</v>
      </c>
      <c r="N21" s="356">
        <v>-26053</v>
      </c>
      <c r="O21" s="403">
        <v>-294897</v>
      </c>
      <c r="P21" s="403">
        <v>-44432</v>
      </c>
      <c r="Q21" s="435">
        <v>-49562</v>
      </c>
      <c r="R21" s="435">
        <v>-47008</v>
      </c>
      <c r="S21" s="435">
        <v>-192093</v>
      </c>
    </row>
    <row r="22" spans="1:20" ht="15" customHeight="1">
      <c r="A22" s="79" t="s">
        <v>237</v>
      </c>
      <c r="B22" s="74" t="s">
        <v>379</v>
      </c>
      <c r="C22" s="75">
        <v>-30598</v>
      </c>
      <c r="D22" s="75">
        <v>-32056</v>
      </c>
      <c r="E22" s="75">
        <v>-25584</v>
      </c>
      <c r="F22" s="75">
        <v>-45668</v>
      </c>
      <c r="G22" s="75">
        <v>-25464</v>
      </c>
      <c r="H22" s="75">
        <v>-43050</v>
      </c>
      <c r="I22" s="75">
        <v>-59360</v>
      </c>
      <c r="J22" s="75">
        <v>-61444</v>
      </c>
      <c r="K22" s="257">
        <v>-34702</v>
      </c>
      <c r="L22" s="257">
        <v>-43143</v>
      </c>
      <c r="M22" s="257">
        <v>-40751</v>
      </c>
      <c r="N22" s="257">
        <v>-65730</v>
      </c>
      <c r="O22" s="408">
        <v>-25493</v>
      </c>
      <c r="P22" s="408">
        <v>-18615</v>
      </c>
      <c r="Q22" s="437">
        <v>-23300</v>
      </c>
      <c r="R22" s="437">
        <v>-26513</v>
      </c>
      <c r="S22" s="437">
        <v>-24732</v>
      </c>
    </row>
    <row r="23" spans="1:20" ht="15" customHeight="1">
      <c r="A23" s="79" t="s">
        <v>368</v>
      </c>
      <c r="B23" s="74" t="s">
        <v>380</v>
      </c>
      <c r="C23" s="75">
        <v>-16399</v>
      </c>
      <c r="D23" s="75">
        <v>-16733</v>
      </c>
      <c r="E23" s="75">
        <v>-16052</v>
      </c>
      <c r="F23" s="75">
        <v>-18172</v>
      </c>
      <c r="G23" s="75">
        <v>-15241</v>
      </c>
      <c r="H23" s="75">
        <v>-16955</v>
      </c>
      <c r="I23" s="75">
        <v>-17067</v>
      </c>
      <c r="J23" s="75">
        <v>-22200</v>
      </c>
      <c r="K23" s="257">
        <v>-19188</v>
      </c>
      <c r="L23" s="257">
        <v>-14261</v>
      </c>
      <c r="M23" s="257">
        <v>-19287</v>
      </c>
      <c r="N23" s="257">
        <v>-14252</v>
      </c>
      <c r="O23" s="408">
        <v>-13939</v>
      </c>
      <c r="P23" s="408">
        <v>-14580</v>
      </c>
      <c r="Q23" s="437">
        <v>-14678</v>
      </c>
      <c r="R23" s="437">
        <v>-11710</v>
      </c>
      <c r="S23" s="437">
        <v>-13032</v>
      </c>
    </row>
    <row r="24" spans="1:20" ht="15" customHeight="1">
      <c r="A24" s="79" t="s">
        <v>238</v>
      </c>
      <c r="B24" s="74" t="s">
        <v>381</v>
      </c>
      <c r="C24" s="75">
        <v>-3609</v>
      </c>
      <c r="D24" s="75">
        <v>-3721</v>
      </c>
      <c r="E24" s="75">
        <v>-3764</v>
      </c>
      <c r="F24" s="75">
        <v>-1364</v>
      </c>
      <c r="G24" s="75">
        <v>-3562</v>
      </c>
      <c r="H24" s="75">
        <v>-3482</v>
      </c>
      <c r="I24" s="75">
        <v>-3492</v>
      </c>
      <c r="J24" s="75">
        <v>87</v>
      </c>
      <c r="K24" s="257">
        <v>-3320</v>
      </c>
      <c r="L24" s="257">
        <v>-3128</v>
      </c>
      <c r="M24" s="257">
        <v>-2985</v>
      </c>
      <c r="N24" s="257">
        <v>262</v>
      </c>
      <c r="O24" s="408">
        <v>-2877</v>
      </c>
      <c r="P24" s="408">
        <v>-2752</v>
      </c>
      <c r="Q24" s="437">
        <v>-2808</v>
      </c>
      <c r="R24" s="437">
        <v>-1808</v>
      </c>
      <c r="S24" s="437">
        <v>-2741</v>
      </c>
    </row>
    <row r="25" spans="1:20" ht="15" customHeight="1">
      <c r="A25" s="81" t="s">
        <v>369</v>
      </c>
      <c r="B25" s="76" t="s">
        <v>382</v>
      </c>
      <c r="C25" s="75">
        <v>-7501</v>
      </c>
      <c r="D25" s="75">
        <v>-6286</v>
      </c>
      <c r="E25" s="75">
        <v>-6667</v>
      </c>
      <c r="F25" s="75">
        <v>-8026</v>
      </c>
      <c r="G25" s="75">
        <v>-7172</v>
      </c>
      <c r="H25" s="75">
        <v>-8347</v>
      </c>
      <c r="I25" s="75">
        <v>-7630</v>
      </c>
      <c r="J25" s="75">
        <v>-7888</v>
      </c>
      <c r="K25" s="257">
        <v>-8888</v>
      </c>
      <c r="L25" s="257">
        <v>-9065</v>
      </c>
      <c r="M25" s="257">
        <v>-8897</v>
      </c>
      <c r="N25" s="257">
        <v>-8841</v>
      </c>
      <c r="O25" s="408">
        <v>-6186</v>
      </c>
      <c r="P25" s="408">
        <v>-6213</v>
      </c>
      <c r="Q25" s="437">
        <v>-7362</v>
      </c>
      <c r="R25" s="437">
        <v>-6254</v>
      </c>
      <c r="S25" s="437">
        <v>-7327</v>
      </c>
    </row>
    <row r="26" spans="1:20" ht="15" customHeight="1">
      <c r="A26" s="81" t="s">
        <v>370</v>
      </c>
      <c r="B26" s="76" t="s">
        <v>383</v>
      </c>
      <c r="C26" s="75">
        <v>-6104</v>
      </c>
      <c r="D26" s="75">
        <v>-5833</v>
      </c>
      <c r="E26" s="75">
        <v>-6904</v>
      </c>
      <c r="F26" s="75">
        <v>-8439</v>
      </c>
      <c r="G26" s="75">
        <v>-6192</v>
      </c>
      <c r="H26" s="75">
        <v>-5445</v>
      </c>
      <c r="I26" s="75">
        <v>-8149</v>
      </c>
      <c r="J26" s="75">
        <v>-12923</v>
      </c>
      <c r="K26" s="257">
        <v>-7921</v>
      </c>
      <c r="L26" s="257">
        <v>-5231</v>
      </c>
      <c r="M26" s="257">
        <v>-7552</v>
      </c>
      <c r="N26" s="257">
        <v>-6576</v>
      </c>
      <c r="O26" s="408">
        <v>-5723</v>
      </c>
      <c r="P26" s="408">
        <v>-5575</v>
      </c>
      <c r="Q26" s="437">
        <v>-5476</v>
      </c>
      <c r="R26" s="437">
        <v>-3640</v>
      </c>
      <c r="S26" s="437">
        <v>-5044</v>
      </c>
    </row>
    <row r="27" spans="1:20" s="72" customFormat="1" ht="15" customHeight="1">
      <c r="A27" s="81" t="s">
        <v>272</v>
      </c>
      <c r="B27" s="86" t="s">
        <v>295</v>
      </c>
      <c r="C27" s="87">
        <v>-5766</v>
      </c>
      <c r="D27" s="87">
        <v>-6472</v>
      </c>
      <c r="E27" s="87">
        <v>-5118</v>
      </c>
      <c r="F27" s="87">
        <v>-8363</v>
      </c>
      <c r="G27" s="87">
        <v>-6487</v>
      </c>
      <c r="H27" s="87">
        <v>-7240</v>
      </c>
      <c r="I27" s="87">
        <v>-6199</v>
      </c>
      <c r="J27" s="87">
        <v>-10775</v>
      </c>
      <c r="K27" s="257">
        <v>-3940</v>
      </c>
      <c r="L27" s="257">
        <v>-8477</v>
      </c>
      <c r="M27" s="257">
        <v>-7692</v>
      </c>
      <c r="N27" s="257">
        <v>-11418</v>
      </c>
      <c r="O27" s="408">
        <v>-6292</v>
      </c>
      <c r="P27" s="408">
        <v>-2864</v>
      </c>
      <c r="Q27" s="437">
        <v>-2419</v>
      </c>
      <c r="R27" s="437">
        <v>-243</v>
      </c>
      <c r="S27" s="437">
        <v>-2362</v>
      </c>
    </row>
    <row r="28" spans="1:20" ht="15" customHeight="1">
      <c r="A28" s="79" t="s">
        <v>240</v>
      </c>
      <c r="B28" s="74" t="s">
        <v>384</v>
      </c>
      <c r="C28" s="75">
        <v>0</v>
      </c>
      <c r="D28" s="75">
        <v>0</v>
      </c>
      <c r="E28" s="75">
        <v>0</v>
      </c>
      <c r="F28" s="75">
        <v>0</v>
      </c>
      <c r="G28" s="75">
        <v>0</v>
      </c>
      <c r="H28" s="75">
        <v>0</v>
      </c>
      <c r="I28" s="75">
        <v>0</v>
      </c>
      <c r="J28" s="75">
        <v>0</v>
      </c>
      <c r="K28" s="257">
        <v>-1951</v>
      </c>
      <c r="L28" s="257">
        <v>-9568</v>
      </c>
      <c r="M28" s="257">
        <v>-4614</v>
      </c>
      <c r="N28" s="257">
        <v>-4542</v>
      </c>
      <c r="O28" s="405">
        <f>-2202-999-151+1</f>
        <v>-3351</v>
      </c>
      <c r="P28" s="405">
        <v>-3029</v>
      </c>
      <c r="Q28" s="437">
        <v>-2982</v>
      </c>
      <c r="R28" s="437">
        <v>-3267</v>
      </c>
      <c r="S28" s="437">
        <v>-2802</v>
      </c>
    </row>
    <row r="29" spans="1:20" ht="15" customHeight="1">
      <c r="A29" s="266" t="s">
        <v>572</v>
      </c>
      <c r="B29" s="74" t="s">
        <v>573</v>
      </c>
      <c r="C29" s="75"/>
      <c r="D29" s="75"/>
      <c r="E29" s="75"/>
      <c r="F29" s="75"/>
      <c r="G29" s="75"/>
      <c r="H29" s="75"/>
      <c r="I29" s="75"/>
      <c r="J29" s="75"/>
      <c r="K29" s="257">
        <v>-8389</v>
      </c>
      <c r="L29" s="257">
        <v>-15437</v>
      </c>
      <c r="M29" s="257">
        <v>-12397</v>
      </c>
      <c r="N29" s="257">
        <v>-13436</v>
      </c>
      <c r="O29" s="408">
        <v>-12693</v>
      </c>
      <c r="P29" s="408">
        <v>-9437</v>
      </c>
      <c r="Q29" s="437">
        <v>-11189</v>
      </c>
      <c r="R29" s="437">
        <v>-10663</v>
      </c>
      <c r="S29" s="437">
        <v>-10973</v>
      </c>
    </row>
    <row r="30" spans="1:20" ht="15" customHeight="1">
      <c r="A30" s="263"/>
      <c r="B30" s="264"/>
      <c r="C30" s="265"/>
      <c r="D30" s="265"/>
      <c r="E30" s="265"/>
      <c r="F30" s="265"/>
      <c r="G30" s="265"/>
      <c r="H30" s="265"/>
      <c r="I30" s="265"/>
      <c r="J30" s="265"/>
      <c r="K30" s="260"/>
      <c r="L30" s="260"/>
      <c r="M30" s="260"/>
      <c r="N30" s="260"/>
      <c r="O30" s="406"/>
      <c r="P30" s="406"/>
      <c r="Q30" s="438"/>
      <c r="R30" s="438"/>
      <c r="S30" s="438"/>
    </row>
    <row r="31" spans="1:20" s="2" customFormat="1" ht="15.75">
      <c r="A31" s="93" t="s">
        <v>356</v>
      </c>
      <c r="B31" s="93" t="s">
        <v>624</v>
      </c>
      <c r="C31" s="255">
        <f t="shared" ref="C31:J31" si="5">SUM(C13:C28)</f>
        <v>-380923</v>
      </c>
      <c r="D31" s="255">
        <f t="shared" si="5"/>
        <v>-344968</v>
      </c>
      <c r="E31" s="255">
        <f t="shared" si="5"/>
        <v>-295332</v>
      </c>
      <c r="F31" s="255">
        <f t="shared" si="5"/>
        <v>-355592</v>
      </c>
      <c r="G31" s="255">
        <f t="shared" si="5"/>
        <v>-466463</v>
      </c>
      <c r="H31" s="255">
        <f t="shared" si="5"/>
        <v>-358416</v>
      </c>
      <c r="I31" s="255">
        <f t="shared" si="5"/>
        <v>-374693</v>
      </c>
      <c r="J31" s="255">
        <f t="shared" si="5"/>
        <v>-372744</v>
      </c>
      <c r="K31" s="259">
        <f t="shared" ref="K31:P31" si="6">SUM(K13:K29)</f>
        <v>-532239</v>
      </c>
      <c r="L31" s="259">
        <f t="shared" si="6"/>
        <v>-355064</v>
      </c>
      <c r="M31" s="259">
        <f t="shared" si="6"/>
        <v>-349719</v>
      </c>
      <c r="N31" s="259">
        <f t="shared" si="6"/>
        <v>-319452</v>
      </c>
      <c r="O31" s="407">
        <f t="shared" si="6"/>
        <v>-574021</v>
      </c>
      <c r="P31" s="407">
        <f t="shared" si="6"/>
        <v>-320951</v>
      </c>
      <c r="Q31" s="427">
        <f>SUM(Q13:Q29)</f>
        <v>-323548</v>
      </c>
      <c r="R31" s="427">
        <f>SUM(R13:R29)</f>
        <v>-299937</v>
      </c>
      <c r="S31" s="427">
        <f>SUM(S13:S29)</f>
        <v>-461151</v>
      </c>
      <c r="T31" s="457"/>
    </row>
    <row r="32" spans="1:20" s="95" customFormat="1">
      <c r="K32" s="258"/>
      <c r="L32" s="267"/>
      <c r="M32" s="267"/>
      <c r="N32" s="267"/>
      <c r="O32" s="411"/>
      <c r="P32" s="411"/>
      <c r="Q32" s="411"/>
      <c r="R32" s="411"/>
      <c r="S32" s="411"/>
    </row>
    <row r="33" spans="1:21">
      <c r="A33" s="254" t="s">
        <v>560</v>
      </c>
      <c r="B33" s="254" t="s">
        <v>561</v>
      </c>
      <c r="C33" s="255">
        <f t="shared" ref="C33:J33" si="7">SUM(C34:C35)</f>
        <v>-101987</v>
      </c>
      <c r="D33" s="255">
        <f t="shared" si="7"/>
        <v>-66974</v>
      </c>
      <c r="E33" s="255">
        <f t="shared" si="7"/>
        <v>-21058</v>
      </c>
      <c r="F33" s="255">
        <f t="shared" si="7"/>
        <v>-20942</v>
      </c>
      <c r="G33" s="255">
        <f t="shared" si="7"/>
        <v>-160255</v>
      </c>
      <c r="H33" s="255">
        <f t="shared" si="7"/>
        <v>34</v>
      </c>
      <c r="I33" s="255">
        <f t="shared" si="7"/>
        <v>-21086</v>
      </c>
      <c r="J33" s="255">
        <f t="shared" si="7"/>
        <v>-21506</v>
      </c>
      <c r="K33" s="259">
        <f t="shared" ref="K33:P33" si="8">SUM(K34:K35)</f>
        <v>-220604</v>
      </c>
      <c r="L33" s="259">
        <f t="shared" si="8"/>
        <v>-20746</v>
      </c>
      <c r="M33" s="259">
        <f t="shared" si="8"/>
        <v>-20802</v>
      </c>
      <c r="N33" s="259">
        <f t="shared" si="8"/>
        <v>-20607</v>
      </c>
      <c r="O33" s="407">
        <f t="shared" si="8"/>
        <v>-287624</v>
      </c>
      <c r="P33" s="407">
        <f t="shared" si="8"/>
        <v>-40392</v>
      </c>
      <c r="Q33" s="427">
        <f>SUM(Q34:Q35)</f>
        <v>-41483</v>
      </c>
      <c r="R33" s="427">
        <f>SUM(R34:R35)</f>
        <v>-41450</v>
      </c>
      <c r="S33" s="427">
        <f>SUM(S34:S35)</f>
        <v>-182467</v>
      </c>
      <c r="T33" s="409"/>
    </row>
    <row r="34" spans="1:21">
      <c r="A34" s="256" t="s">
        <v>562</v>
      </c>
      <c r="B34" s="256" t="s">
        <v>563</v>
      </c>
      <c r="C34" s="87">
        <v>-77117</v>
      </c>
      <c r="D34" s="87">
        <v>-49836</v>
      </c>
      <c r="E34" s="87">
        <v>0</v>
      </c>
      <c r="F34" s="87">
        <v>0</v>
      </c>
      <c r="G34" s="87">
        <v>-132329</v>
      </c>
      <c r="H34" s="87">
        <v>27797</v>
      </c>
      <c r="I34" s="87">
        <v>7500</v>
      </c>
      <c r="J34" s="87">
        <v>7500</v>
      </c>
      <c r="K34" s="257">
        <v>-199304</v>
      </c>
      <c r="L34" s="276">
        <v>0</v>
      </c>
      <c r="M34" s="276">
        <v>-9</v>
      </c>
      <c r="N34" s="276">
        <v>0</v>
      </c>
      <c r="O34" s="410">
        <v>-247990</v>
      </c>
      <c r="P34" s="410">
        <v>792</v>
      </c>
      <c r="Q34" s="439">
        <v>0</v>
      </c>
      <c r="R34" s="439">
        <v>0</v>
      </c>
      <c r="S34" s="439">
        <v>-155481</v>
      </c>
      <c r="T34" s="450"/>
      <c r="U34" s="409"/>
    </row>
    <row r="35" spans="1:21">
      <c r="A35" s="256" t="s">
        <v>564</v>
      </c>
      <c r="B35" s="256" t="s">
        <v>565</v>
      </c>
      <c r="C35" s="87">
        <v>-24870</v>
      </c>
      <c r="D35" s="87">
        <v>-17138</v>
      </c>
      <c r="E35" s="87">
        <v>-21058</v>
      </c>
      <c r="F35" s="87">
        <v>-20942</v>
      </c>
      <c r="G35" s="87">
        <v>-27926</v>
      </c>
      <c r="H35" s="87">
        <v>-27763</v>
      </c>
      <c r="I35" s="87">
        <v>-28586</v>
      </c>
      <c r="J35" s="87">
        <v>-29006</v>
      </c>
      <c r="K35" s="257">
        <v>-21300</v>
      </c>
      <c r="L35" s="257">
        <f>-42046-K35</f>
        <v>-20746</v>
      </c>
      <c r="M35" s="257">
        <v>-20793</v>
      </c>
      <c r="N35" s="257">
        <v>-20607</v>
      </c>
      <c r="O35" s="405">
        <f>-39633648.42/1000</f>
        <v>-39634</v>
      </c>
      <c r="P35" s="410">
        <v>-41184</v>
      </c>
      <c r="Q35" s="439">
        <v>-41483</v>
      </c>
      <c r="R35" s="439">
        <v>-41450</v>
      </c>
      <c r="S35" s="439">
        <v>-26986</v>
      </c>
      <c r="T35" s="450"/>
      <c r="U35" s="409"/>
    </row>
    <row r="36" spans="1:21">
      <c r="C36" s="6"/>
      <c r="D36" s="6"/>
      <c r="E36" s="6"/>
      <c r="F36" s="6"/>
      <c r="G36" s="6"/>
      <c r="H36" s="6"/>
      <c r="I36" s="6"/>
      <c r="J36" s="6"/>
      <c r="K36" s="6"/>
      <c r="L36" s="6"/>
      <c r="M36" s="6"/>
      <c r="N36" s="6"/>
      <c r="O36" s="401"/>
      <c r="P36" s="401"/>
      <c r="Q36" s="440"/>
    </row>
    <row r="37" spans="1:21">
      <c r="C37" s="6"/>
      <c r="D37" s="6"/>
      <c r="E37" s="6"/>
      <c r="F37" s="6"/>
      <c r="G37" s="6"/>
      <c r="H37" s="6"/>
      <c r="I37" s="6"/>
      <c r="J37" s="6"/>
      <c r="K37" s="6"/>
      <c r="L37" s="6"/>
      <c r="M37" s="6"/>
      <c r="N37" s="6"/>
      <c r="O37" s="401"/>
      <c r="P37" s="401"/>
      <c r="Q37" s="440"/>
    </row>
    <row r="38" spans="1:21">
      <c r="O38" s="409"/>
      <c r="P38" s="409"/>
      <c r="Q38" s="409"/>
    </row>
  </sheetData>
  <customSheetViews>
    <customSheetView guid="{2A0EA35A-7F53-4AD8-895C-C234D094A4A4}" scale="88" fitToPage="1" showRuler="0">
      <pane xSplit="2" topLeftCell="G1" activePane="topRight" state="frozen"/>
      <selection pane="topRight" activeCell="J8" sqref="J8"/>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1"/>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2"/>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5"/>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9AF4A83C-CF57-4B40-8A74-6A0EA6C2FE5C}" scale="88" fitToPage="1" showRuler="0">
      <pane xSplit="2" topLeftCell="F1" activePane="topRight" state="frozen"/>
      <selection pane="topRight" activeCell="S31" activeCellId="1" sqref="S9 S31"/>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7"/>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82" workbookViewId="0">
      <selection activeCell="A19" sqref="A19"/>
    </sheetView>
  </sheetViews>
  <sheetFormatPr defaultColWidth="9.140625" defaultRowHeight="15"/>
  <cols>
    <col min="1" max="1" width="50.85546875" style="90" customWidth="1"/>
    <col min="2" max="2" width="38.42578125" style="90" customWidth="1"/>
    <col min="3" max="3" width="9.85546875" style="90" customWidth="1"/>
    <col min="4" max="19" width="9.85546875" style="3" customWidth="1"/>
    <col min="20" max="21" width="12.42578125" style="3" customWidth="1"/>
    <col min="22" max="22" width="12.140625" style="3" customWidth="1"/>
    <col min="23" max="25" width="10.140625" style="3" bestFit="1" customWidth="1"/>
    <col min="26" max="16384" width="9.140625" style="3"/>
  </cols>
  <sheetData>
    <row r="2" spans="1:25" s="90" customFormat="1" ht="15.75" thickBot="1">
      <c r="A2" s="31" t="s">
        <v>93</v>
      </c>
      <c r="B2" s="31" t="s">
        <v>6</v>
      </c>
      <c r="C2" s="36" t="s">
        <v>188</v>
      </c>
      <c r="D2" s="36" t="s">
        <v>189</v>
      </c>
      <c r="E2" s="36" t="s">
        <v>190</v>
      </c>
      <c r="F2" s="36" t="s">
        <v>191</v>
      </c>
      <c r="G2" s="36" t="s">
        <v>192</v>
      </c>
      <c r="H2" s="36" t="s">
        <v>193</v>
      </c>
      <c r="I2" s="36" t="s">
        <v>194</v>
      </c>
      <c r="J2" s="36" t="s">
        <v>195</v>
      </c>
      <c r="K2" s="40" t="s">
        <v>196</v>
      </c>
      <c r="L2" s="40" t="s">
        <v>197</v>
      </c>
      <c r="M2" s="40" t="s">
        <v>594</v>
      </c>
      <c r="N2" s="40" t="s">
        <v>603</v>
      </c>
      <c r="O2" s="40" t="s">
        <v>638</v>
      </c>
      <c r="P2" s="40" t="s">
        <v>642</v>
      </c>
      <c r="Q2" s="40" t="s">
        <v>651</v>
      </c>
      <c r="R2" s="40" t="s">
        <v>662</v>
      </c>
      <c r="S2" s="40" t="s">
        <v>672</v>
      </c>
      <c r="T2" s="91"/>
      <c r="U2" s="91"/>
      <c r="V2" s="91"/>
      <c r="W2" s="91"/>
      <c r="X2" s="91"/>
      <c r="Y2" s="91"/>
    </row>
    <row r="3" spans="1:25" ht="24" customHeight="1">
      <c r="A3" s="32" t="s">
        <v>639</v>
      </c>
      <c r="B3" s="32" t="s">
        <v>398</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c r="Q3" s="42">
        <v>-7513</v>
      </c>
      <c r="R3" s="42">
        <v>-117796</v>
      </c>
      <c r="S3" s="42">
        <v>112817</v>
      </c>
      <c r="T3" s="273"/>
    </row>
    <row r="4" spans="1:25" ht="23.45" customHeight="1">
      <c r="A4" s="182" t="s">
        <v>636</v>
      </c>
      <c r="B4" s="33" t="s">
        <v>399</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c r="Q4" s="42">
        <v>34900</v>
      </c>
      <c r="R4" s="42">
        <v>170448</v>
      </c>
      <c r="S4" s="42">
        <v>-56284</v>
      </c>
      <c r="T4" s="273"/>
    </row>
    <row r="5" spans="1:25" ht="15" customHeight="1">
      <c r="A5" s="182" t="s">
        <v>401</v>
      </c>
      <c r="B5" s="33" t="s">
        <v>400</v>
      </c>
      <c r="C5" s="38">
        <v>3356</v>
      </c>
      <c r="D5" s="38">
        <v>697</v>
      </c>
      <c r="E5" s="38">
        <v>2583</v>
      </c>
      <c r="F5" s="38">
        <v>-2371</v>
      </c>
      <c r="G5" s="38" t="s">
        <v>527</v>
      </c>
      <c r="H5" s="38" t="s">
        <v>527</v>
      </c>
      <c r="I5" s="38" t="s">
        <v>527</v>
      </c>
      <c r="J5" s="38" t="s">
        <v>527</v>
      </c>
      <c r="K5" s="42" t="s">
        <v>527</v>
      </c>
      <c r="L5" s="42" t="s">
        <v>527</v>
      </c>
      <c r="M5" s="42" t="s">
        <v>527</v>
      </c>
      <c r="N5" s="42">
        <v>0</v>
      </c>
      <c r="O5" s="42">
        <v>0</v>
      </c>
      <c r="P5" s="42">
        <v>0</v>
      </c>
      <c r="Q5" s="42">
        <v>0</v>
      </c>
      <c r="R5" s="42">
        <v>0</v>
      </c>
      <c r="S5" s="42">
        <v>0</v>
      </c>
      <c r="T5" s="273"/>
    </row>
    <row r="6" spans="1:25">
      <c r="A6" s="182" t="s">
        <v>403</v>
      </c>
      <c r="B6" s="33" t="s">
        <v>402</v>
      </c>
      <c r="C6" s="38">
        <v>519</v>
      </c>
      <c r="D6" s="38">
        <v>-4292</v>
      </c>
      <c r="E6" s="38">
        <v>-907</v>
      </c>
      <c r="F6" s="38">
        <v>-1324</v>
      </c>
      <c r="G6" s="38" t="s">
        <v>527</v>
      </c>
      <c r="H6" s="38" t="s">
        <v>527</v>
      </c>
      <c r="I6" s="38" t="s">
        <v>527</v>
      </c>
      <c r="J6" s="38" t="s">
        <v>527</v>
      </c>
      <c r="K6" s="42" t="s">
        <v>527</v>
      </c>
      <c r="L6" s="42" t="s">
        <v>527</v>
      </c>
      <c r="M6" s="42" t="s">
        <v>527</v>
      </c>
      <c r="N6" s="42">
        <v>0</v>
      </c>
      <c r="O6" s="42">
        <v>0</v>
      </c>
      <c r="P6" s="42">
        <v>0</v>
      </c>
      <c r="Q6" s="42">
        <v>0</v>
      </c>
      <c r="R6" s="42">
        <v>0</v>
      </c>
      <c r="S6" s="42">
        <v>0</v>
      </c>
      <c r="T6" s="273"/>
    </row>
    <row r="7" spans="1:25" ht="30" customHeight="1">
      <c r="A7" s="33" t="s">
        <v>405</v>
      </c>
      <c r="B7" s="33" t="s">
        <v>404</v>
      </c>
      <c r="C7" s="38">
        <v>0</v>
      </c>
      <c r="D7" s="38">
        <v>0</v>
      </c>
      <c r="E7" s="38">
        <v>0</v>
      </c>
      <c r="F7" s="38">
        <v>0</v>
      </c>
      <c r="G7" s="38">
        <v>-3002</v>
      </c>
      <c r="H7" s="38">
        <v>-18</v>
      </c>
      <c r="I7" s="38">
        <v>-2041</v>
      </c>
      <c r="J7" s="38">
        <v>1387</v>
      </c>
      <c r="K7" s="42">
        <v>969</v>
      </c>
      <c r="L7" s="42">
        <v>-3102</v>
      </c>
      <c r="M7" s="42">
        <v>-4231</v>
      </c>
      <c r="N7" s="42">
        <v>-587</v>
      </c>
      <c r="O7" s="42">
        <v>-12775</v>
      </c>
      <c r="P7" s="42">
        <v>3422</v>
      </c>
      <c r="Q7" s="42">
        <v>-1696</v>
      </c>
      <c r="R7" s="42">
        <v>30764</v>
      </c>
      <c r="S7" s="42">
        <v>11380</v>
      </c>
      <c r="T7" s="273"/>
    </row>
    <row r="8" spans="1:25" ht="36.75" customHeight="1">
      <c r="A8" s="33" t="s">
        <v>625</v>
      </c>
      <c r="B8" s="33" t="s">
        <v>406</v>
      </c>
      <c r="C8" s="38">
        <v>0</v>
      </c>
      <c r="D8" s="38">
        <v>0</v>
      </c>
      <c r="E8" s="38">
        <v>0</v>
      </c>
      <c r="F8" s="38">
        <v>0</v>
      </c>
      <c r="G8" s="38">
        <v>394</v>
      </c>
      <c r="H8" s="38">
        <v>11114</v>
      </c>
      <c r="I8" s="38">
        <v>10443</v>
      </c>
      <c r="J8" s="38">
        <v>480</v>
      </c>
      <c r="K8" s="42">
        <v>-17521</v>
      </c>
      <c r="L8" s="42">
        <v>-3039</v>
      </c>
      <c r="M8" s="42">
        <v>1898</v>
      </c>
      <c r="N8" s="42">
        <v>-499</v>
      </c>
      <c r="O8" s="42">
        <v>-1064</v>
      </c>
      <c r="P8" s="42">
        <v>15481</v>
      </c>
      <c r="Q8" s="42">
        <v>3913</v>
      </c>
      <c r="R8" s="42">
        <v>-28790</v>
      </c>
      <c r="S8" s="42">
        <v>2859</v>
      </c>
      <c r="T8" s="273"/>
    </row>
    <row r="9" spans="1:25" ht="43.5" customHeight="1">
      <c r="A9" s="33" t="s">
        <v>626</v>
      </c>
      <c r="B9" s="33" t="s">
        <v>407</v>
      </c>
      <c r="C9" s="38">
        <v>0</v>
      </c>
      <c r="D9" s="38">
        <v>0</v>
      </c>
      <c r="E9" s="38">
        <v>0</v>
      </c>
      <c r="F9" s="38">
        <v>0</v>
      </c>
      <c r="G9" s="38">
        <v>-19601</v>
      </c>
      <c r="H9" s="38">
        <v>7870</v>
      </c>
      <c r="I9" s="38">
        <v>8566</v>
      </c>
      <c r="J9" s="38">
        <v>-21206</v>
      </c>
      <c r="K9" s="42">
        <v>21498</v>
      </c>
      <c r="L9" s="42">
        <v>-2466</v>
      </c>
      <c r="M9" s="42">
        <v>6680</v>
      </c>
      <c r="N9" s="42">
        <v>4442</v>
      </c>
      <c r="O9" s="42">
        <v>-8002</v>
      </c>
      <c r="P9" s="42">
        <v>-8706</v>
      </c>
      <c r="Q9" s="42">
        <v>-1283</v>
      </c>
      <c r="R9" s="42">
        <v>2647</v>
      </c>
      <c r="S9" s="42">
        <v>259</v>
      </c>
      <c r="T9" s="273"/>
    </row>
    <row r="10" spans="1:25" s="89" customFormat="1">
      <c r="A10" s="35"/>
      <c r="B10" s="35" t="s">
        <v>43</v>
      </c>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c r="P10" s="39">
        <f t="shared" ref="P10:Q10" si="1">SUM(P3:P9)</f>
        <v>58612</v>
      </c>
      <c r="Q10" s="39">
        <f t="shared" si="1"/>
        <v>28321</v>
      </c>
      <c r="R10" s="39">
        <f t="shared" ref="R10:S10" si="2">SUM(R3:R9)</f>
        <v>57273</v>
      </c>
      <c r="S10" s="39">
        <f t="shared" si="2"/>
        <v>71031</v>
      </c>
    </row>
  </sheetData>
  <customSheetViews>
    <customSheetView guid="{2A0EA35A-7F53-4AD8-895C-C234D094A4A4}">
      <selection activeCell="A19" sqref="A19"/>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899D69CD-4B7E-42BC-9944-5BD922EB798C}">
      <selection activeCell="H9" sqref="H9"/>
      <pageMargins left="0.7" right="0.7" top="0.75" bottom="0.75" header="0.3" footer="0.3"/>
    </customSheetView>
    <customSheetView guid="{25FAB884-5E17-4008-8139-33D910C7DEFE}">
      <selection activeCell="I23" sqref="I23"/>
      <pageMargins left="0.7" right="0.7" top="0.75" bottom="0.75" header="0.3" footer="0.3"/>
    </customSheetView>
    <customSheetView guid="{57267270-6A97-4850-9DB6-FE6B399379AA}">
      <selection activeCell="L9" sqref="L9"/>
      <pageMargins left="0.7" right="0.7" top="0.75" bottom="0.75" header="0.3" footer="0.3"/>
    </customSheetView>
    <customSheetView guid="{687A4863-1825-4D63-B732-E76682E6DE4F}" scale="108" topLeftCell="K1">
      <selection activeCell="T7" sqref="T7"/>
      <pageMargins left="0.7" right="0.7" top="0.75" bottom="0.75" header="0.3" footer="0.3"/>
    </customSheetView>
    <customSheetView guid="{9AF4A83C-CF57-4B40-8A74-6A0EA6C2FE5C}" hiddenColumns="1" topLeftCell="B1">
      <selection activeCell="M15" sqref="M15"/>
      <pageMargins left="0.7" right="0.7" top="0.75" bottom="0.75" header="0.3" footer="0.3"/>
    </customSheetView>
    <customSheetView guid="{12F8D032-8143-430B-8DFF-852E8796C402}">
      <selection activeCell="B18" sqref="B18"/>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selection activeCell="K26" sqref="K26"/>
    </sheetView>
  </sheetViews>
  <sheetFormatPr defaultColWidth="9.140625" defaultRowHeight="15"/>
  <cols>
    <col min="1" max="1" width="43.42578125" style="90" customWidth="1"/>
    <col min="2" max="2" width="43.5703125" style="90" customWidth="1"/>
    <col min="3" max="3" width="9.7109375" style="90" customWidth="1"/>
    <col min="4" max="11" width="9.7109375" style="3" customWidth="1"/>
    <col min="12" max="14" width="9.7109375" style="90" customWidth="1"/>
    <col min="15" max="19" width="9.7109375" style="3" customWidth="1"/>
    <col min="20" max="16384" width="9.140625" style="3"/>
  </cols>
  <sheetData>
    <row r="1" spans="1:21" s="90" customFormat="1" ht="15.75" thickBot="1">
      <c r="A1" s="184" t="s">
        <v>94</v>
      </c>
      <c r="B1" s="184" t="s">
        <v>7</v>
      </c>
      <c r="C1" s="36" t="s">
        <v>188</v>
      </c>
      <c r="D1" s="36" t="s">
        <v>189</v>
      </c>
      <c r="E1" s="36" t="s">
        <v>190</v>
      </c>
      <c r="F1" s="36" t="s">
        <v>191</v>
      </c>
      <c r="G1" s="36" t="s">
        <v>192</v>
      </c>
      <c r="H1" s="36" t="s">
        <v>193</v>
      </c>
      <c r="I1" s="36" t="s">
        <v>194</v>
      </c>
      <c r="J1" s="36" t="s">
        <v>195</v>
      </c>
      <c r="K1" s="40" t="s">
        <v>196</v>
      </c>
      <c r="L1" s="245" t="s">
        <v>197</v>
      </c>
      <c r="M1" s="245" t="s">
        <v>594</v>
      </c>
      <c r="N1" s="245" t="s">
        <v>603</v>
      </c>
      <c r="O1" s="245" t="s">
        <v>638</v>
      </c>
      <c r="P1" s="245" t="s">
        <v>642</v>
      </c>
      <c r="Q1" s="245" t="s">
        <v>651</v>
      </c>
      <c r="R1" s="245" t="s">
        <v>662</v>
      </c>
      <c r="S1" s="245" t="s">
        <v>672</v>
      </c>
    </row>
    <row r="2" spans="1:21" ht="38.25">
      <c r="A2" s="33" t="s">
        <v>513</v>
      </c>
      <c r="B2" s="33" t="s">
        <v>628</v>
      </c>
      <c r="C2" s="37">
        <v>0</v>
      </c>
      <c r="D2" s="37">
        <v>0</v>
      </c>
      <c r="E2" s="37">
        <v>0</v>
      </c>
      <c r="F2" s="37">
        <v>0</v>
      </c>
      <c r="G2" s="38">
        <v>210</v>
      </c>
      <c r="H2" s="38">
        <v>7498</v>
      </c>
      <c r="I2" s="38">
        <v>13897</v>
      </c>
      <c r="J2" s="38">
        <v>6722</v>
      </c>
      <c r="K2" s="38">
        <v>8486</v>
      </c>
      <c r="L2" s="246">
        <v>40500</v>
      </c>
      <c r="M2" s="246">
        <v>37508</v>
      </c>
      <c r="N2" s="246">
        <v>38179</v>
      </c>
      <c r="O2" s="246">
        <v>51976</v>
      </c>
      <c r="P2" s="246">
        <v>8500</v>
      </c>
      <c r="Q2" s="246">
        <v>109596</v>
      </c>
      <c r="R2" s="246">
        <v>58651</v>
      </c>
      <c r="S2" s="246">
        <v>28176</v>
      </c>
    </row>
    <row r="3" spans="1:21" ht="38.25">
      <c r="A3" s="182" t="s">
        <v>514</v>
      </c>
      <c r="B3" s="182" t="s">
        <v>627</v>
      </c>
      <c r="C3" s="38">
        <v>0</v>
      </c>
      <c r="D3" s="38">
        <v>0</v>
      </c>
      <c r="E3" s="38">
        <v>0</v>
      </c>
      <c r="F3" s="38">
        <v>0</v>
      </c>
      <c r="G3" s="38">
        <v>-4</v>
      </c>
      <c r="H3" s="38">
        <v>3</v>
      </c>
      <c r="I3" s="38">
        <v>-23</v>
      </c>
      <c r="J3" s="38">
        <v>0</v>
      </c>
      <c r="K3" s="38">
        <v>0</v>
      </c>
      <c r="L3" s="246">
        <v>-8</v>
      </c>
      <c r="M3" s="246">
        <v>26</v>
      </c>
      <c r="N3" s="246">
        <v>0</v>
      </c>
      <c r="O3" s="246">
        <v>-5</v>
      </c>
      <c r="P3" s="246">
        <v>-80</v>
      </c>
      <c r="Q3" s="246">
        <v>0</v>
      </c>
      <c r="R3" s="246">
        <v>0</v>
      </c>
      <c r="S3" s="246">
        <v>8</v>
      </c>
    </row>
    <row r="4" spans="1:21" ht="38.25">
      <c r="A4" s="182" t="s">
        <v>652</v>
      </c>
      <c r="B4" s="182" t="s">
        <v>653</v>
      </c>
      <c r="C4" s="38">
        <v>0</v>
      </c>
      <c r="D4" s="38">
        <v>0</v>
      </c>
      <c r="E4" s="38">
        <v>0</v>
      </c>
      <c r="F4" s="38">
        <v>0</v>
      </c>
      <c r="G4" s="38">
        <v>4118</v>
      </c>
      <c r="H4" s="38">
        <v>10713</v>
      </c>
      <c r="I4" s="38">
        <v>14988</v>
      </c>
      <c r="J4" s="38">
        <v>-17476</v>
      </c>
      <c r="K4" s="38">
        <v>24673</v>
      </c>
      <c r="L4" s="246">
        <v>17618</v>
      </c>
      <c r="M4" s="246">
        <v>-1927</v>
      </c>
      <c r="N4" s="246">
        <v>16594</v>
      </c>
      <c r="O4" s="246">
        <v>-29930</v>
      </c>
      <c r="P4" s="246">
        <v>33205</v>
      </c>
      <c r="Q4" s="246">
        <v>11755</v>
      </c>
      <c r="R4" s="246">
        <v>18172</v>
      </c>
      <c r="S4" s="246">
        <v>-7347</v>
      </c>
    </row>
    <row r="5" spans="1:21" ht="25.5">
      <c r="A5" s="182" t="s">
        <v>523</v>
      </c>
      <c r="B5" s="182" t="s">
        <v>525</v>
      </c>
      <c r="C5" s="197">
        <v>10775</v>
      </c>
      <c r="D5" s="197">
        <v>0</v>
      </c>
      <c r="E5" s="197">
        <v>1866</v>
      </c>
      <c r="F5" s="197">
        <v>13823</v>
      </c>
      <c r="G5" s="38">
        <v>0</v>
      </c>
      <c r="H5" s="38">
        <v>0</v>
      </c>
      <c r="I5" s="38">
        <v>0</v>
      </c>
      <c r="J5" s="38">
        <v>0</v>
      </c>
      <c r="K5" s="38">
        <v>0</v>
      </c>
      <c r="L5" s="246">
        <v>0</v>
      </c>
      <c r="M5" s="246">
        <v>0</v>
      </c>
      <c r="N5" s="246">
        <v>0</v>
      </c>
      <c r="O5" s="246">
        <v>0</v>
      </c>
      <c r="P5" s="246">
        <v>0</v>
      </c>
      <c r="Q5" s="246">
        <v>0</v>
      </c>
      <c r="R5" s="246">
        <v>0</v>
      </c>
      <c r="S5" s="246">
        <v>0</v>
      </c>
    </row>
    <row r="6" spans="1:21" ht="25.5">
      <c r="A6" s="182" t="s">
        <v>524</v>
      </c>
      <c r="B6" s="182" t="s">
        <v>526</v>
      </c>
      <c r="C6" s="197">
        <v>5503</v>
      </c>
      <c r="D6" s="197">
        <v>9700</v>
      </c>
      <c r="E6" s="197">
        <v>3503</v>
      </c>
      <c r="F6" s="197">
        <v>2116</v>
      </c>
      <c r="G6" s="38">
        <v>0</v>
      </c>
      <c r="H6" s="38">
        <v>0</v>
      </c>
      <c r="I6" s="38">
        <v>0</v>
      </c>
      <c r="J6" s="38">
        <v>0</v>
      </c>
      <c r="K6" s="38">
        <v>0</v>
      </c>
      <c r="L6" s="246">
        <v>0</v>
      </c>
      <c r="M6" s="246">
        <v>0</v>
      </c>
      <c r="N6" s="246">
        <v>0</v>
      </c>
      <c r="O6" s="246">
        <v>0</v>
      </c>
      <c r="P6" s="246">
        <v>0</v>
      </c>
      <c r="Q6" s="246">
        <v>0</v>
      </c>
      <c r="R6" s="246">
        <v>0</v>
      </c>
      <c r="S6" s="246">
        <v>0</v>
      </c>
    </row>
    <row r="7" spans="1:21" ht="15" customHeight="1">
      <c r="A7" s="182" t="s">
        <v>604</v>
      </c>
      <c r="B7" s="182" t="s">
        <v>605</v>
      </c>
      <c r="C7" s="197">
        <v>0</v>
      </c>
      <c r="D7" s="197"/>
      <c r="E7" s="197">
        <v>-461</v>
      </c>
      <c r="F7" s="197">
        <v>0</v>
      </c>
      <c r="G7" s="38">
        <v>0</v>
      </c>
      <c r="H7" s="38">
        <v>0</v>
      </c>
      <c r="I7" s="38">
        <v>0</v>
      </c>
      <c r="J7" s="38">
        <v>0</v>
      </c>
      <c r="K7" s="38">
        <v>0</v>
      </c>
      <c r="L7" s="246">
        <v>0</v>
      </c>
      <c r="M7" s="246">
        <v>0</v>
      </c>
      <c r="N7" s="246">
        <v>-11244</v>
      </c>
      <c r="O7" s="246">
        <v>0</v>
      </c>
      <c r="P7" s="246">
        <v>-8535</v>
      </c>
      <c r="Q7" s="246">
        <v>0</v>
      </c>
      <c r="R7" s="246">
        <v>0</v>
      </c>
      <c r="S7" s="246">
        <v>0</v>
      </c>
    </row>
    <row r="8" spans="1:21" ht="15" customHeight="1">
      <c r="A8" s="59" t="s">
        <v>515</v>
      </c>
      <c r="B8" s="59" t="s">
        <v>519</v>
      </c>
      <c r="C8" s="196">
        <f t="shared" ref="C8:L8" si="0">SUM(C2:C7)</f>
        <v>16278</v>
      </c>
      <c r="D8" s="196">
        <f t="shared" si="0"/>
        <v>9700</v>
      </c>
      <c r="E8" s="196">
        <f t="shared" si="0"/>
        <v>4908</v>
      </c>
      <c r="F8" s="196">
        <f t="shared" si="0"/>
        <v>15939</v>
      </c>
      <c r="G8" s="62">
        <f t="shared" si="0"/>
        <v>4324</v>
      </c>
      <c r="H8" s="62">
        <f t="shared" si="0"/>
        <v>18214</v>
      </c>
      <c r="I8" s="62">
        <f t="shared" si="0"/>
        <v>28862</v>
      </c>
      <c r="J8" s="62">
        <f t="shared" si="0"/>
        <v>-10754</v>
      </c>
      <c r="K8" s="62">
        <f t="shared" si="0"/>
        <v>33159</v>
      </c>
      <c r="L8" s="247">
        <f t="shared" si="0"/>
        <v>58110</v>
      </c>
      <c r="M8" s="247">
        <f t="shared" ref="M8:R8" si="1">SUM(M2:M7)</f>
        <v>35607</v>
      </c>
      <c r="N8" s="247">
        <f t="shared" si="1"/>
        <v>43529</v>
      </c>
      <c r="O8" s="247">
        <f t="shared" si="1"/>
        <v>22041</v>
      </c>
      <c r="P8" s="247">
        <f t="shared" si="1"/>
        <v>33090</v>
      </c>
      <c r="Q8" s="247">
        <f t="shared" si="1"/>
        <v>121351</v>
      </c>
      <c r="R8" s="247">
        <f t="shared" si="1"/>
        <v>76823</v>
      </c>
      <c r="S8" s="247">
        <f t="shared" ref="S8" si="2">SUM(S2:S7)</f>
        <v>20837</v>
      </c>
    </row>
    <row r="9" spans="1:21" ht="27.75" customHeight="1">
      <c r="A9" s="33" t="s">
        <v>516</v>
      </c>
      <c r="B9" s="33" t="s">
        <v>520</v>
      </c>
      <c r="C9" s="194">
        <v>2789</v>
      </c>
      <c r="D9" s="194">
        <v>2898</v>
      </c>
      <c r="E9" s="194">
        <v>10806</v>
      </c>
      <c r="F9" s="194">
        <v>7267</v>
      </c>
      <c r="G9" s="38">
        <v>-9332</v>
      </c>
      <c r="H9" s="38">
        <v>6939</v>
      </c>
      <c r="I9" s="38">
        <v>8220</v>
      </c>
      <c r="J9" s="38">
        <v>-22389</v>
      </c>
      <c r="K9" s="38">
        <v>-4108</v>
      </c>
      <c r="L9" s="246">
        <v>-7809</v>
      </c>
      <c r="M9" s="246">
        <v>-46668</v>
      </c>
      <c r="N9" s="246">
        <v>50910</v>
      </c>
      <c r="O9" s="468">
        <v>-179604</v>
      </c>
      <c r="P9" s="468">
        <v>-49322</v>
      </c>
      <c r="Q9" s="468">
        <v>22906</v>
      </c>
      <c r="R9" s="468">
        <v>46879</v>
      </c>
      <c r="S9" s="468">
        <v>124256</v>
      </c>
      <c r="T9" s="192"/>
      <c r="U9" s="192"/>
    </row>
    <row r="10" spans="1:21" ht="15" customHeight="1">
      <c r="A10" s="33" t="s">
        <v>517</v>
      </c>
      <c r="B10" s="33" t="s">
        <v>521</v>
      </c>
      <c r="C10" s="194">
        <v>-1890</v>
      </c>
      <c r="D10" s="194">
        <v>-1828</v>
      </c>
      <c r="E10" s="194">
        <v>-11752</v>
      </c>
      <c r="F10" s="194">
        <v>-7613</v>
      </c>
      <c r="G10" s="38">
        <v>8935</v>
      </c>
      <c r="H10" s="38">
        <v>-8253</v>
      </c>
      <c r="I10" s="38">
        <v>-7633</v>
      </c>
      <c r="J10" s="38">
        <v>20347</v>
      </c>
      <c r="K10" s="38">
        <v>3804</v>
      </c>
      <c r="L10" s="246">
        <v>11595</v>
      </c>
      <c r="M10" s="246">
        <v>53402</v>
      </c>
      <c r="N10" s="246">
        <v>-46056</v>
      </c>
      <c r="O10" s="468">
        <v>184049</v>
      </c>
      <c r="P10" s="468">
        <v>43288</v>
      </c>
      <c r="Q10" s="468">
        <v>-16155</v>
      </c>
      <c r="R10" s="468">
        <v>-47634</v>
      </c>
      <c r="S10" s="468">
        <v>-118302</v>
      </c>
      <c r="T10" s="192"/>
      <c r="U10" s="192"/>
    </row>
    <row r="11" spans="1:21" ht="25.5">
      <c r="A11" s="183" t="s">
        <v>518</v>
      </c>
      <c r="B11" s="183" t="s">
        <v>522</v>
      </c>
      <c r="C11" s="195">
        <f t="shared" ref="C11:H11" si="3">SUM(C9:C10)</f>
        <v>899</v>
      </c>
      <c r="D11" s="195">
        <f t="shared" si="3"/>
        <v>1070</v>
      </c>
      <c r="E11" s="195">
        <f t="shared" si="3"/>
        <v>-946</v>
      </c>
      <c r="F11" s="195">
        <f t="shared" si="3"/>
        <v>-346</v>
      </c>
      <c r="G11" s="185">
        <f t="shared" si="3"/>
        <v>-397</v>
      </c>
      <c r="H11" s="185">
        <f t="shared" si="3"/>
        <v>-1314</v>
      </c>
      <c r="I11" s="185">
        <f t="shared" ref="I11:O11" si="4">SUM(I9:I10)</f>
        <v>587</v>
      </c>
      <c r="J11" s="185">
        <f t="shared" si="4"/>
        <v>-2042</v>
      </c>
      <c r="K11" s="185">
        <f t="shared" si="4"/>
        <v>-304</v>
      </c>
      <c r="L11" s="185">
        <f t="shared" si="4"/>
        <v>3786</v>
      </c>
      <c r="M11" s="185">
        <f t="shared" si="4"/>
        <v>6734</v>
      </c>
      <c r="N11" s="185">
        <f t="shared" si="4"/>
        <v>4854</v>
      </c>
      <c r="O11" s="185">
        <f t="shared" si="4"/>
        <v>4445</v>
      </c>
      <c r="P11" s="185">
        <f t="shared" ref="P11:Q11" si="5">SUM(P9:P10)</f>
        <v>-6034</v>
      </c>
      <c r="Q11" s="185">
        <f t="shared" si="5"/>
        <v>6751</v>
      </c>
      <c r="R11" s="185">
        <f t="shared" ref="R11:S11" si="6">SUM(R9:R10)</f>
        <v>-755</v>
      </c>
      <c r="S11" s="185">
        <f t="shared" si="6"/>
        <v>5954</v>
      </c>
    </row>
    <row r="12" spans="1:21">
      <c r="A12" s="35" t="s">
        <v>58</v>
      </c>
      <c r="B12" s="35" t="s">
        <v>43</v>
      </c>
      <c r="C12" s="193">
        <f t="shared" ref="C12:H12" si="7">C8+C11</f>
        <v>17177</v>
      </c>
      <c r="D12" s="193">
        <f t="shared" si="7"/>
        <v>10770</v>
      </c>
      <c r="E12" s="193">
        <f t="shared" si="7"/>
        <v>3962</v>
      </c>
      <c r="F12" s="193">
        <f t="shared" si="7"/>
        <v>15593</v>
      </c>
      <c r="G12" s="39">
        <f t="shared" si="7"/>
        <v>3927</v>
      </c>
      <c r="H12" s="39">
        <f t="shared" si="7"/>
        <v>16900</v>
      </c>
      <c r="I12" s="39">
        <f t="shared" ref="I12:O12" si="8">I8+I11</f>
        <v>29449</v>
      </c>
      <c r="J12" s="39">
        <f t="shared" si="8"/>
        <v>-12796</v>
      </c>
      <c r="K12" s="39">
        <f t="shared" si="8"/>
        <v>32855</v>
      </c>
      <c r="L12" s="248">
        <f t="shared" si="8"/>
        <v>61896</v>
      </c>
      <c r="M12" s="248">
        <f t="shared" si="8"/>
        <v>42341</v>
      </c>
      <c r="N12" s="248">
        <f t="shared" si="8"/>
        <v>48383</v>
      </c>
      <c r="O12" s="248">
        <f t="shared" si="8"/>
        <v>26486</v>
      </c>
      <c r="P12" s="248">
        <f t="shared" ref="P12:Q12" si="9">P8+P11</f>
        <v>27056</v>
      </c>
      <c r="Q12" s="248">
        <f t="shared" si="9"/>
        <v>128102</v>
      </c>
      <c r="R12" s="248">
        <f t="shared" ref="R12:S12" si="10">R8+R11</f>
        <v>76068</v>
      </c>
      <c r="S12" s="248">
        <f t="shared" si="10"/>
        <v>26791</v>
      </c>
    </row>
    <row r="13" spans="1:21">
      <c r="A13" s="186"/>
      <c r="B13" s="186"/>
      <c r="C13" s="242">
        <f>C12-'P&amp;L'!C13</f>
        <v>0</v>
      </c>
      <c r="D13" s="242">
        <f>D12-'P&amp;L'!D13</f>
        <v>0</v>
      </c>
      <c r="E13" s="242">
        <f>E12-'P&amp;L'!E13</f>
        <v>0</v>
      </c>
      <c r="F13" s="242">
        <f>F12-'P&amp;L'!F13</f>
        <v>0</v>
      </c>
      <c r="G13" s="242">
        <f>G12-'P&amp;L'!G13</f>
        <v>0</v>
      </c>
      <c r="H13" s="242">
        <f>H12-'P&amp;L'!H13</f>
        <v>0</v>
      </c>
      <c r="I13" s="242">
        <f>I12-'P&amp;L'!I13</f>
        <v>0</v>
      </c>
      <c r="J13" s="242">
        <f>J12-'P&amp;L'!J13</f>
        <v>0</v>
      </c>
      <c r="K13" s="242">
        <f>K12-'P&amp;L'!K13</f>
        <v>0</v>
      </c>
      <c r="L13" s="242">
        <f>L12-'P&amp;L'!L13</f>
        <v>0</v>
      </c>
      <c r="M13" s="242">
        <f>M12-'P&amp;L'!M13</f>
        <v>0</v>
      </c>
      <c r="N13" s="242">
        <f>N12-'P&amp;L'!N13</f>
        <v>0</v>
      </c>
      <c r="O13" s="189">
        <f>'P&amp;L'!O13-O12</f>
        <v>0</v>
      </c>
      <c r="P13" s="189">
        <f>'P&amp;L'!P13-P12</f>
        <v>0</v>
      </c>
      <c r="Q13" s="189">
        <f>'P&amp;L'!Q13-Q12</f>
        <v>0</v>
      </c>
      <c r="R13" s="467">
        <f>'P&amp;L'!R13-R12</f>
        <v>0</v>
      </c>
      <c r="S13" s="467">
        <f>'P&amp;L'!S13-S12</f>
        <v>0</v>
      </c>
    </row>
    <row r="14" spans="1:21">
      <c r="A14" s="186"/>
      <c r="B14" s="186"/>
      <c r="G14" s="187"/>
      <c r="H14" s="187"/>
      <c r="I14" s="187"/>
      <c r="J14" s="187"/>
      <c r="K14" s="187"/>
      <c r="P14" s="188"/>
      <c r="Q14" s="188"/>
    </row>
    <row r="15" spans="1:21">
      <c r="D15" s="90"/>
      <c r="E15" s="90"/>
      <c r="F15" s="90"/>
      <c r="G15" s="90"/>
      <c r="H15" s="90"/>
      <c r="I15" s="90"/>
      <c r="J15" s="90"/>
      <c r="K15" s="90"/>
    </row>
    <row r="16" spans="1:21">
      <c r="D16" s="90"/>
      <c r="E16" s="90"/>
      <c r="F16" s="90"/>
      <c r="G16" s="90"/>
      <c r="H16" s="90"/>
      <c r="I16" s="90"/>
      <c r="J16" s="90"/>
      <c r="K16" s="90"/>
    </row>
    <row r="17" spans="7:7">
      <c r="G17" s="273"/>
    </row>
    <row r="18" spans="7:7">
      <c r="G18" s="273"/>
    </row>
    <row r="19" spans="7:7">
      <c r="G19" s="273"/>
    </row>
    <row r="20" spans="7:7">
      <c r="G20" s="273"/>
    </row>
    <row r="21" spans="7:7">
      <c r="G21" s="273"/>
    </row>
    <row r="22" spans="7:7">
      <c r="G22" s="273"/>
    </row>
    <row r="23" spans="7:7">
      <c r="G23" s="273"/>
    </row>
    <row r="24" spans="7:7">
      <c r="G24" s="273"/>
    </row>
    <row r="25" spans="7:7">
      <c r="G25" s="273"/>
    </row>
    <row r="26" spans="7:7">
      <c r="G26" s="273"/>
    </row>
    <row r="27" spans="7:7">
      <c r="G27" s="273"/>
    </row>
    <row r="28" spans="7:7">
      <c r="G28" s="273"/>
    </row>
    <row r="29" spans="7:7">
      <c r="G29" s="273"/>
    </row>
    <row r="30" spans="7:7">
      <c r="G30" s="273"/>
    </row>
    <row r="31" spans="7:7">
      <c r="G31" s="273"/>
    </row>
    <row r="32" spans="7:7">
      <c r="G32" s="273"/>
    </row>
    <row r="33" spans="7:7">
      <c r="G33" s="273"/>
    </row>
    <row r="34" spans="7:7">
      <c r="G34" s="273"/>
    </row>
    <row r="35" spans="7:7">
      <c r="G35" s="273"/>
    </row>
    <row r="36" spans="7:7">
      <c r="G36" s="273"/>
    </row>
    <row r="37" spans="7:7">
      <c r="G37" s="273">
        <f>G22+H22+I22</f>
        <v>0</v>
      </c>
    </row>
    <row r="38" spans="7:7">
      <c r="G38" s="273">
        <f>G23+H23+I23</f>
        <v>0</v>
      </c>
    </row>
  </sheetData>
  <customSheetViews>
    <customSheetView guid="{2A0EA35A-7F53-4AD8-895C-C234D094A4A4}">
      <selection activeCell="K26" sqref="K26"/>
      <pageMargins left="0.7" right="0.7" top="0.75" bottom="0.75" header="0.3" footer="0.3"/>
    </customSheetView>
    <customSheetView guid="{8DA78CF1-615A-4626-9893-6751995631A4}" hiddenColumns="1">
      <selection activeCell="Q21" sqref="Q21"/>
      <pageMargins left="0.7" right="0.7" top="0.75" bottom="0.75" header="0.3" footer="0.3"/>
    </customSheetView>
    <customSheetView guid="{899D69CD-4B7E-42BC-9944-5BD922EB798C}" topLeftCell="G1">
      <selection activeCell="R4" sqref="R4"/>
      <pageMargins left="0.7" right="0.7" top="0.75" bottom="0.75" header="0.3" footer="0.3"/>
    </customSheetView>
    <customSheetView guid="{25FAB884-5E17-4008-8139-33D910C7DEFE}">
      <selection activeCell="E18" sqref="E18"/>
      <pageMargins left="0.7" right="0.7" top="0.75" bottom="0.75" header="0.3" footer="0.3"/>
      <pageSetup paperSize="9" orientation="portrait" horizontalDpi="1200" verticalDpi="1200" r:id="rId1"/>
    </customSheetView>
    <customSheetView guid="{57267270-6A97-4850-9DB6-FE6B399379AA}" topLeftCell="F1">
      <selection activeCell="P8" sqref="P8"/>
      <pageMargins left="0.7" right="0.7" top="0.75" bottom="0.75" header="0.3" footer="0.3"/>
    </customSheetView>
    <customSheetView guid="{687A4863-1825-4D63-B732-E76682E6DE4F}" scale="52">
      <selection activeCell="E20" sqref="E20"/>
      <pageMargins left="0.7" right="0.7" top="0.75" bottom="0.75" header="0.3" footer="0.3"/>
    </customSheetView>
    <customSheetView guid="{9AF4A83C-CF57-4B40-8A74-6A0EA6C2FE5C}" hiddenColumns="1">
      <selection activeCell="P25" sqref="P25"/>
      <pageMargins left="0.7" right="0.7" top="0.75" bottom="0.75" header="0.3" footer="0.3"/>
    </customSheetView>
    <customSheetView guid="{12F8D032-8143-430B-8DFF-852E8796C402}">
      <selection activeCell="A6" sqref="A6:XFD6"/>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3"/>
  <sheetViews>
    <sheetView workbookViewId="0">
      <selection activeCell="R17" sqref="R17"/>
    </sheetView>
  </sheetViews>
  <sheetFormatPr defaultColWidth="9.140625" defaultRowHeight="15"/>
  <cols>
    <col min="1" max="1" width="39" style="19" customWidth="1"/>
    <col min="2" max="2" width="42" style="19" customWidth="1"/>
    <col min="3" max="10" width="13.42578125" style="19" customWidth="1"/>
    <col min="11" max="19" width="13.42578125" style="92" customWidth="1"/>
    <col min="20" max="16384" width="9.140625" style="19"/>
  </cols>
  <sheetData>
    <row r="2" spans="1:19" ht="15.75" thickBot="1">
      <c r="A2" s="44" t="s">
        <v>279</v>
      </c>
      <c r="B2" s="44" t="s">
        <v>19</v>
      </c>
      <c r="C2" s="52" t="s">
        <v>165</v>
      </c>
      <c r="D2" s="52" t="s">
        <v>166</v>
      </c>
      <c r="E2" s="52" t="s">
        <v>167</v>
      </c>
      <c r="F2" s="52" t="s">
        <v>168</v>
      </c>
      <c r="G2" s="52" t="s">
        <v>169</v>
      </c>
      <c r="H2" s="52" t="s">
        <v>170</v>
      </c>
      <c r="I2" s="52" t="s">
        <v>171</v>
      </c>
      <c r="J2" s="52" t="s">
        <v>172</v>
      </c>
      <c r="K2" s="204">
        <v>43555</v>
      </c>
      <c r="L2" s="204">
        <v>43646</v>
      </c>
      <c r="M2" s="204">
        <v>43738</v>
      </c>
      <c r="N2" s="204">
        <v>43830</v>
      </c>
      <c r="O2" s="204">
        <v>43921</v>
      </c>
      <c r="P2" s="204">
        <v>44012</v>
      </c>
      <c r="Q2" s="204">
        <v>44104</v>
      </c>
      <c r="R2" s="204">
        <v>44196</v>
      </c>
      <c r="S2" s="204">
        <v>44286</v>
      </c>
    </row>
    <row r="3" spans="1:19" ht="15" customHeight="1">
      <c r="A3" s="45" t="s">
        <v>242</v>
      </c>
      <c r="B3" s="45" t="s">
        <v>173</v>
      </c>
      <c r="C3" s="49">
        <v>46253167</v>
      </c>
      <c r="D3" s="49">
        <v>46284622</v>
      </c>
      <c r="E3" s="49">
        <v>46798848</v>
      </c>
      <c r="F3" s="49">
        <v>47776973</v>
      </c>
      <c r="G3" s="49">
        <v>47987290</v>
      </c>
      <c r="H3" s="49">
        <v>50695917</v>
      </c>
      <c r="I3" s="49">
        <v>51780791</v>
      </c>
      <c r="J3" s="49">
        <f>58603679-694</f>
        <v>58602985</v>
      </c>
      <c r="K3" s="49">
        <v>58642114</v>
      </c>
      <c r="L3" s="49">
        <v>59160302</v>
      </c>
      <c r="M3" s="49">
        <v>59679510</v>
      </c>
      <c r="N3" s="49">
        <v>58142560.6624135</v>
      </c>
      <c r="O3" s="49">
        <v>61224040</v>
      </c>
      <c r="P3" s="49">
        <v>57379919</v>
      </c>
      <c r="Q3" s="49">
        <v>56436827</v>
      </c>
      <c r="R3" s="49">
        <v>56909607</v>
      </c>
      <c r="S3" s="49">
        <v>58533524</v>
      </c>
    </row>
    <row r="4" spans="1:19" ht="15" customHeight="1">
      <c r="A4" s="45" t="s">
        <v>243</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c r="Q4" s="49">
        <v>81778792</v>
      </c>
      <c r="R4" s="49">
        <v>81387891</v>
      </c>
      <c r="S4" s="49">
        <v>80682128</v>
      </c>
    </row>
    <row r="5" spans="1:19" ht="15" customHeight="1">
      <c r="A5" s="46" t="s">
        <v>280</v>
      </c>
      <c r="B5" s="320"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c r="Q5" s="53">
        <v>52518480</v>
      </c>
      <c r="R5" s="53">
        <v>52758103</v>
      </c>
      <c r="S5" s="53">
        <v>52646291</v>
      </c>
    </row>
    <row r="6" spans="1:19" ht="15" customHeight="1">
      <c r="A6" s="45" t="s">
        <v>281</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c r="Q6" s="49">
        <v>9628749</v>
      </c>
      <c r="R6" s="49">
        <v>9783366</v>
      </c>
      <c r="S6" s="49">
        <v>9969328</v>
      </c>
    </row>
    <row r="7" spans="1:19" ht="15" customHeight="1">
      <c r="A7" s="45" t="s">
        <v>282</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c r="Q7" s="49">
        <v>300439</v>
      </c>
      <c r="R7" s="49">
        <v>211489</v>
      </c>
      <c r="S7" s="49">
        <v>273052</v>
      </c>
    </row>
    <row r="8" spans="1:19" ht="4.7" customHeight="1">
      <c r="A8" s="45" t="s">
        <v>307</v>
      </c>
      <c r="B8" s="45" t="s">
        <v>306</v>
      </c>
      <c r="C8" s="49">
        <v>0</v>
      </c>
      <c r="D8" s="49">
        <v>0</v>
      </c>
      <c r="E8" s="49">
        <v>0</v>
      </c>
      <c r="F8" s="49">
        <v>0</v>
      </c>
      <c r="G8" s="49">
        <v>0</v>
      </c>
      <c r="H8" s="49">
        <v>0</v>
      </c>
      <c r="I8" s="49">
        <v>0</v>
      </c>
      <c r="J8" s="49">
        <v>0</v>
      </c>
      <c r="K8" s="49">
        <v>0</v>
      </c>
      <c r="L8" s="49">
        <v>0</v>
      </c>
      <c r="M8" s="49">
        <v>0</v>
      </c>
      <c r="N8" s="49">
        <v>0</v>
      </c>
      <c r="O8" s="49">
        <v>0</v>
      </c>
      <c r="P8" s="49">
        <v>0</v>
      </c>
      <c r="Q8" s="49">
        <v>0</v>
      </c>
      <c r="R8" s="49">
        <v>0</v>
      </c>
      <c r="S8" s="49"/>
    </row>
    <row r="9" spans="1:19" ht="15" customHeight="1">
      <c r="A9" s="45" t="s">
        <v>283</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c r="Q9" s="49">
        <v>38788</v>
      </c>
      <c r="R9" s="49">
        <v>33691</v>
      </c>
      <c r="S9" s="49">
        <v>48107</v>
      </c>
    </row>
    <row r="10" spans="1:19" ht="15" customHeight="1">
      <c r="A10" s="47" t="s">
        <v>284</v>
      </c>
      <c r="B10" s="47" t="s">
        <v>178</v>
      </c>
      <c r="C10" s="50">
        <f t="shared" ref="C10:K10" si="0">SUM(C3:C9)-C5</f>
        <v>108833839</v>
      </c>
      <c r="D10" s="50">
        <f t="shared" si="0"/>
        <v>109809244</v>
      </c>
      <c r="E10" s="50">
        <f t="shared" si="0"/>
        <v>111376495</v>
      </c>
      <c r="F10" s="50">
        <f t="shared" si="0"/>
        <v>112686027</v>
      </c>
      <c r="G10" s="50">
        <f t="shared" si="0"/>
        <v>114405959</v>
      </c>
      <c r="H10" s="50">
        <f t="shared" si="0"/>
        <v>119749622</v>
      </c>
      <c r="I10" s="50">
        <f t="shared" si="0"/>
        <v>121785346</v>
      </c>
      <c r="J10" s="50">
        <f t="shared" si="0"/>
        <v>141844700</v>
      </c>
      <c r="K10" s="50">
        <f t="shared" si="0"/>
        <v>143331653</v>
      </c>
      <c r="L10" s="50">
        <v>145545775</v>
      </c>
      <c r="M10" s="50">
        <f t="shared" ref="M10:R10" si="1">M3+M4+M6+M7+M9</f>
        <v>148942734</v>
      </c>
      <c r="N10" s="50">
        <f t="shared" si="1"/>
        <v>148646993</v>
      </c>
      <c r="O10" s="50">
        <f t="shared" si="1"/>
        <v>153236468</v>
      </c>
      <c r="P10" s="50">
        <f t="shared" si="1"/>
        <v>148516154</v>
      </c>
      <c r="Q10" s="50">
        <f t="shared" si="1"/>
        <v>148183595</v>
      </c>
      <c r="R10" s="50">
        <f t="shared" si="1"/>
        <v>148326044</v>
      </c>
      <c r="S10" s="50">
        <f t="shared" ref="S10" si="2">S3+S4+S6+S7+S9</f>
        <v>149506139</v>
      </c>
    </row>
    <row r="11" spans="1:19" ht="15" customHeight="1">
      <c r="A11" s="45" t="s">
        <v>285</v>
      </c>
      <c r="B11" s="45" t="s">
        <v>179</v>
      </c>
      <c r="C11" s="49">
        <v>-4815661</v>
      </c>
      <c r="D11" s="49">
        <v>-4755517</v>
      </c>
      <c r="E11" s="49">
        <v>-4901066</v>
      </c>
      <c r="F11" s="49">
        <v>-4846130</v>
      </c>
      <c r="G11" s="49">
        <v>-5328169</v>
      </c>
      <c r="H11" s="49">
        <v>-5572650</v>
      </c>
      <c r="I11" s="49">
        <v>-5195339</v>
      </c>
      <c r="J11" s="49">
        <f>-4385016+694</f>
        <v>-4384322</v>
      </c>
      <c r="K11" s="49">
        <v>-4664510</v>
      </c>
      <c r="L11" s="49">
        <v>-4820072</v>
      </c>
      <c r="M11" s="49">
        <v>-5117348</v>
      </c>
      <c r="N11" s="49">
        <f>-5244363-1</f>
        <v>-5244364</v>
      </c>
      <c r="O11" s="49">
        <v>-5563558</v>
      </c>
      <c r="P11" s="49">
        <v>-5894019</v>
      </c>
      <c r="Q11" s="49">
        <v>-6132157</v>
      </c>
      <c r="R11" s="49">
        <v>-6327299</v>
      </c>
      <c r="S11" s="49">
        <v>-6504605</v>
      </c>
    </row>
    <row r="12" spans="1:19">
      <c r="A12" s="48" t="s">
        <v>58</v>
      </c>
      <c r="B12" s="48" t="s">
        <v>43</v>
      </c>
      <c r="C12" s="51">
        <f>SUM(C10,C11)</f>
        <v>104018178</v>
      </c>
      <c r="D12" s="51">
        <f>SUM(D10,D11)</f>
        <v>105053727</v>
      </c>
      <c r="E12" s="51">
        <f>SUM(E10,E11)</f>
        <v>106475429</v>
      </c>
      <c r="F12" s="51">
        <f>SUM(F10,F11)</f>
        <v>107839897</v>
      </c>
      <c r="G12" s="51">
        <v>109077790</v>
      </c>
      <c r="H12" s="51">
        <f>SUM(H10,H11)</f>
        <v>114176972</v>
      </c>
      <c r="I12" s="51">
        <f>SUM(I10,I11)</f>
        <v>116590007</v>
      </c>
      <c r="J12" s="51">
        <f>SUM(J10,J11)</f>
        <v>137460378</v>
      </c>
      <c r="K12" s="51">
        <f>SUM(K10,K11)</f>
        <v>138667143</v>
      </c>
      <c r="L12" s="51">
        <v>140725703</v>
      </c>
      <c r="M12" s="51">
        <f t="shared" ref="M12:R12" si="3">M10+M11</f>
        <v>143825386</v>
      </c>
      <c r="N12" s="51">
        <f t="shared" si="3"/>
        <v>143402629</v>
      </c>
      <c r="O12" s="51">
        <f t="shared" si="3"/>
        <v>147672910</v>
      </c>
      <c r="P12" s="51">
        <f t="shared" si="3"/>
        <v>142622135</v>
      </c>
      <c r="Q12" s="51">
        <f t="shared" si="3"/>
        <v>142051438</v>
      </c>
      <c r="R12" s="51">
        <f t="shared" si="3"/>
        <v>141998745</v>
      </c>
      <c r="S12" s="51">
        <f t="shared" ref="S12" si="4">S10+S11</f>
        <v>143001534</v>
      </c>
    </row>
    <row r="14" spans="1:19" ht="10.5" customHeight="1"/>
    <row r="15" spans="1:19" ht="11.1" customHeight="1"/>
    <row r="19" spans="11:19" s="281" customFormat="1">
      <c r="K19" s="280"/>
      <c r="L19" s="280"/>
      <c r="M19" s="280"/>
      <c r="N19" s="280"/>
      <c r="O19" s="280"/>
      <c r="P19" s="280"/>
      <c r="Q19" s="280"/>
      <c r="R19" s="280"/>
      <c r="S19" s="280"/>
    </row>
    <row r="23" spans="11:19" ht="10.5" customHeight="1"/>
  </sheetData>
  <customSheetViews>
    <customSheetView guid="{2A0EA35A-7F53-4AD8-895C-C234D094A4A4}">
      <selection activeCell="R17" sqref="R17"/>
      <pageMargins left="0.7" right="0.7" top="0.75" bottom="0.75" header="0.3" footer="0.3"/>
    </customSheetView>
    <customSheetView guid="{8DA78CF1-615A-4626-9893-6751995631A4}" topLeftCell="C1">
      <selection activeCell="R17" sqref="R17"/>
      <pageMargins left="0.7" right="0.7" top="0.75" bottom="0.75" header="0.3" footer="0.3"/>
    </customSheetView>
    <customSheetView guid="{899D69CD-4B7E-42BC-9944-5BD922EB798C}" hiddenRows="1">
      <pane xSplit="2" ySplit="2" topLeftCell="Q3" activePane="bottomRight" state="frozen"/>
      <selection pane="bottomRight" activeCell="A21" sqref="A21"/>
      <pageMargins left="0.7" right="0.7" top="0.75" bottom="0.75" header="0.3" footer="0.3"/>
    </customSheetView>
    <customSheetView guid="{25FAB884-5E17-4008-8139-33D910C7DEFE}">
      <selection activeCell="G13" sqref="G13"/>
      <pageMargins left="0.7" right="0.7" top="0.75" bottom="0.75" header="0.3" footer="0.3"/>
    </customSheetView>
    <customSheetView guid="{57267270-6A97-4850-9DB6-FE6B399379AA}">
      <selection activeCell="A15" sqref="A15"/>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9AF4A83C-CF57-4B40-8A74-6A0EA6C2FE5C}" topLeftCell="C1">
      <selection activeCell="R17" sqref="R1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s>
  <pageMargins left="0.7" right="0.7" top="0.75" bottom="0.75" header="0.3" footer="0.3"/>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3"/>
  <sheetViews>
    <sheetView workbookViewId="0">
      <selection activeCell="B23" sqref="B23"/>
    </sheetView>
  </sheetViews>
  <sheetFormatPr defaultRowHeight="15"/>
  <cols>
    <col min="1" max="1" width="43.7109375" customWidth="1"/>
    <col min="2" max="2" width="36.5703125" customWidth="1"/>
    <col min="3" max="5" width="12.42578125" customWidth="1"/>
    <col min="6" max="7" width="12.42578125" style="3" customWidth="1"/>
    <col min="8" max="20" width="12.42578125" customWidth="1"/>
  </cols>
  <sheetData>
    <row r="2" spans="1:20" ht="15.75" thickBot="1">
      <c r="A2" s="55" t="s">
        <v>332</v>
      </c>
      <c r="B2" s="55" t="s">
        <v>257</v>
      </c>
      <c r="C2" s="77">
        <v>42825</v>
      </c>
      <c r="D2" s="77">
        <v>42916</v>
      </c>
      <c r="E2" s="77">
        <v>43008</v>
      </c>
      <c r="F2" s="60">
        <v>43100</v>
      </c>
      <c r="G2" s="60">
        <v>43101</v>
      </c>
      <c r="H2" s="77">
        <v>43190</v>
      </c>
      <c r="I2" s="77">
        <v>43281</v>
      </c>
      <c r="J2" s="77">
        <v>43373</v>
      </c>
      <c r="K2" s="60">
        <v>43465</v>
      </c>
      <c r="L2" s="60">
        <v>43555</v>
      </c>
      <c r="M2" s="249">
        <v>43646</v>
      </c>
      <c r="N2" s="249">
        <v>43738</v>
      </c>
      <c r="O2" s="294">
        <v>43830</v>
      </c>
      <c r="P2" s="294">
        <v>43921</v>
      </c>
      <c r="Q2" s="294">
        <v>44012</v>
      </c>
      <c r="R2" s="294">
        <v>44104</v>
      </c>
      <c r="S2" s="294">
        <v>44196</v>
      </c>
      <c r="T2" s="294">
        <v>44286</v>
      </c>
    </row>
    <row r="3" spans="1:20" ht="38.25">
      <c r="A3" s="56" t="s">
        <v>333</v>
      </c>
      <c r="B3" s="56" t="s">
        <v>343</v>
      </c>
      <c r="C3" s="82"/>
      <c r="D3" s="82"/>
      <c r="E3" s="82"/>
      <c r="F3" s="61"/>
      <c r="G3" s="61">
        <f>G5+G8+G10</f>
        <v>25984209</v>
      </c>
      <c r="H3" s="61">
        <f t="shared" ref="H3:M3" si="0">H5+H8+H10</f>
        <v>26750860</v>
      </c>
      <c r="I3" s="61">
        <f t="shared" si="0"/>
        <v>32565132</v>
      </c>
      <c r="J3" s="61">
        <f t="shared" si="0"/>
        <v>33013402</v>
      </c>
      <c r="K3" s="61">
        <f t="shared" si="0"/>
        <v>36886457</v>
      </c>
      <c r="L3" s="61">
        <f t="shared" si="0"/>
        <v>36994963</v>
      </c>
      <c r="M3" s="250">
        <f t="shared" si="0"/>
        <v>37097116</v>
      </c>
      <c r="N3" s="250">
        <f t="shared" ref="N3:S3" si="1">N5+N8+N10</f>
        <v>36585574</v>
      </c>
      <c r="O3" s="295">
        <f t="shared" si="1"/>
        <v>40248937</v>
      </c>
      <c r="P3" s="295">
        <f t="shared" si="1"/>
        <v>40130536</v>
      </c>
      <c r="Q3" s="295">
        <f t="shared" si="1"/>
        <v>55799648</v>
      </c>
      <c r="R3" s="295">
        <f t="shared" si="1"/>
        <v>60192017</v>
      </c>
      <c r="S3" s="295">
        <f t="shared" si="1"/>
        <v>65700052</v>
      </c>
      <c r="T3" s="295">
        <f t="shared" ref="T3" si="2">T5+T8+T10</f>
        <v>67191633</v>
      </c>
    </row>
    <row r="4" spans="1:20" s="3" customFormat="1" ht="30.75" customHeight="1">
      <c r="A4" s="56" t="s">
        <v>385</v>
      </c>
      <c r="B4" s="56" t="s">
        <v>386</v>
      </c>
      <c r="C4" s="62">
        <f>C5+C10</f>
        <v>24212430</v>
      </c>
      <c r="D4" s="62">
        <f>D5+D10</f>
        <v>24184070</v>
      </c>
      <c r="E4" s="62">
        <f>E7+E9+E11</f>
        <v>25011794</v>
      </c>
      <c r="F4" s="85">
        <f>F7+F9+F11</f>
        <v>25984209</v>
      </c>
      <c r="G4" s="56"/>
      <c r="H4" s="56"/>
      <c r="I4" s="56"/>
      <c r="J4" s="56"/>
      <c r="K4" s="56"/>
      <c r="L4" s="56"/>
      <c r="M4" s="251"/>
      <c r="N4" s="251"/>
      <c r="O4" s="296"/>
      <c r="P4" s="296"/>
      <c r="Q4" s="296"/>
      <c r="R4" s="296"/>
      <c r="S4" s="296"/>
      <c r="T4" s="296"/>
    </row>
    <row r="5" spans="1:20" ht="15" customHeight="1">
      <c r="A5" s="57" t="s">
        <v>334</v>
      </c>
      <c r="B5" s="57" t="s">
        <v>344</v>
      </c>
      <c r="C5" s="38">
        <f t="shared" ref="C5:M5" si="3">C7+C6</f>
        <v>22182310</v>
      </c>
      <c r="D5" s="38">
        <f t="shared" si="3"/>
        <v>22034197</v>
      </c>
      <c r="E5" s="38">
        <f t="shared" si="3"/>
        <v>21610256</v>
      </c>
      <c r="F5" s="38">
        <f t="shared" si="3"/>
        <v>22514629</v>
      </c>
      <c r="G5" s="38">
        <f t="shared" si="3"/>
        <v>22514629</v>
      </c>
      <c r="H5" s="38">
        <f t="shared" si="3"/>
        <v>24538574</v>
      </c>
      <c r="I5" s="38">
        <f t="shared" si="3"/>
        <v>27154076</v>
      </c>
      <c r="J5" s="38">
        <f t="shared" si="3"/>
        <v>28624667</v>
      </c>
      <c r="K5" s="38">
        <f t="shared" si="3"/>
        <v>29068536</v>
      </c>
      <c r="L5" s="38">
        <f t="shared" si="3"/>
        <v>31777287</v>
      </c>
      <c r="M5" s="246">
        <f t="shared" si="3"/>
        <v>33136741</v>
      </c>
      <c r="N5" s="246">
        <f t="shared" ref="N5:S5" si="4">N7+N6</f>
        <v>34540831</v>
      </c>
      <c r="O5" s="297">
        <f t="shared" si="4"/>
        <v>34332625</v>
      </c>
      <c r="P5" s="297">
        <f t="shared" si="4"/>
        <v>36500147</v>
      </c>
      <c r="Q5" s="297">
        <f t="shared" si="4"/>
        <v>45429189</v>
      </c>
      <c r="R5" s="297">
        <f t="shared" si="4"/>
        <v>45938077</v>
      </c>
      <c r="S5" s="297">
        <f t="shared" si="4"/>
        <v>46149191</v>
      </c>
      <c r="T5" s="297">
        <f t="shared" ref="T5" si="5">T7+T6</f>
        <v>50122581</v>
      </c>
    </row>
    <row r="6" spans="1:20" s="3" customFormat="1" ht="15" customHeight="1">
      <c r="A6" s="84" t="s">
        <v>337</v>
      </c>
      <c r="B6" s="84" t="s">
        <v>347</v>
      </c>
      <c r="C6" s="38">
        <v>292894</v>
      </c>
      <c r="D6" s="38">
        <v>293619</v>
      </c>
      <c r="E6" s="38">
        <v>0</v>
      </c>
      <c r="F6" s="38">
        <v>0</v>
      </c>
      <c r="G6" s="38">
        <v>0</v>
      </c>
      <c r="H6" s="38">
        <v>0</v>
      </c>
      <c r="I6" s="38">
        <v>0</v>
      </c>
      <c r="J6" s="38">
        <v>0</v>
      </c>
      <c r="K6" s="38">
        <v>0</v>
      </c>
      <c r="L6" s="38">
        <v>0</v>
      </c>
      <c r="M6" s="246">
        <v>0</v>
      </c>
      <c r="N6" s="246">
        <v>0</v>
      </c>
      <c r="O6" s="297">
        <v>0</v>
      </c>
      <c r="P6" s="297">
        <v>0</v>
      </c>
      <c r="Q6" s="297">
        <v>2040169</v>
      </c>
      <c r="R6" s="297">
        <v>1415156</v>
      </c>
      <c r="S6" s="297">
        <v>1415983</v>
      </c>
      <c r="T6" s="297">
        <v>0</v>
      </c>
    </row>
    <row r="7" spans="1:20" ht="15" customHeight="1">
      <c r="A7" s="33" t="s">
        <v>335</v>
      </c>
      <c r="B7" s="33" t="s">
        <v>345</v>
      </c>
      <c r="C7" s="38">
        <v>21889416</v>
      </c>
      <c r="D7" s="38">
        <v>21740578</v>
      </c>
      <c r="E7" s="38">
        <v>21610256</v>
      </c>
      <c r="F7" s="42">
        <v>22514629</v>
      </c>
      <c r="G7" s="42">
        <v>22514629</v>
      </c>
      <c r="H7" s="38">
        <v>24538574</v>
      </c>
      <c r="I7" s="38">
        <v>27154076</v>
      </c>
      <c r="J7" s="38">
        <v>28624667</v>
      </c>
      <c r="K7" s="38">
        <v>29068536</v>
      </c>
      <c r="L7" s="38">
        <v>31777287</v>
      </c>
      <c r="M7" s="246">
        <v>33136741</v>
      </c>
      <c r="N7" s="246">
        <v>34540831</v>
      </c>
      <c r="O7" s="297">
        <v>34332625</v>
      </c>
      <c r="P7" s="297">
        <v>36500147</v>
      </c>
      <c r="Q7" s="297">
        <v>43389020</v>
      </c>
      <c r="R7" s="297">
        <v>44522921</v>
      </c>
      <c r="S7" s="297">
        <v>44733208</v>
      </c>
      <c r="T7" s="297">
        <v>50122581</v>
      </c>
    </row>
    <row r="8" spans="1:20" ht="15" customHeight="1">
      <c r="A8" s="58" t="s">
        <v>336</v>
      </c>
      <c r="B8" s="58" t="s">
        <v>346</v>
      </c>
      <c r="C8" s="38">
        <v>0</v>
      </c>
      <c r="D8" s="38">
        <v>0</v>
      </c>
      <c r="E8" s="38">
        <f t="shared" ref="E8:L8" si="6">E9</f>
        <v>1239118</v>
      </c>
      <c r="F8" s="38">
        <f t="shared" si="6"/>
        <v>1379839</v>
      </c>
      <c r="G8" s="38">
        <f t="shared" si="6"/>
        <v>1379839</v>
      </c>
      <c r="H8" s="38">
        <f t="shared" si="6"/>
        <v>82023</v>
      </c>
      <c r="I8" s="38">
        <f t="shared" si="6"/>
        <v>3279363</v>
      </c>
      <c r="J8" s="38">
        <f t="shared" si="6"/>
        <v>2299616</v>
      </c>
      <c r="K8" s="38">
        <f t="shared" si="6"/>
        <v>5999249</v>
      </c>
      <c r="L8" s="38">
        <f t="shared" si="6"/>
        <v>3214666</v>
      </c>
      <c r="M8" s="246">
        <f t="shared" ref="M8:T8" si="7">M9</f>
        <v>1939700</v>
      </c>
      <c r="N8" s="246">
        <f t="shared" si="7"/>
        <v>0</v>
      </c>
      <c r="O8" s="297">
        <f t="shared" si="7"/>
        <v>3849679</v>
      </c>
      <c r="P8" s="297">
        <f t="shared" si="7"/>
        <v>1499917</v>
      </c>
      <c r="Q8" s="297">
        <f t="shared" si="7"/>
        <v>599997</v>
      </c>
      <c r="R8" s="297">
        <f t="shared" si="7"/>
        <v>0</v>
      </c>
      <c r="S8" s="297">
        <f t="shared" si="7"/>
        <v>4999904</v>
      </c>
      <c r="T8" s="297">
        <f t="shared" si="7"/>
        <v>1499996</v>
      </c>
    </row>
    <row r="9" spans="1:20" ht="15" customHeight="1">
      <c r="A9" s="33" t="s">
        <v>337</v>
      </c>
      <c r="B9" s="33" t="s">
        <v>347</v>
      </c>
      <c r="C9" s="38">
        <v>0</v>
      </c>
      <c r="D9" s="38">
        <v>0</v>
      </c>
      <c r="E9" s="38">
        <v>1239118</v>
      </c>
      <c r="F9" s="42">
        <v>1379839</v>
      </c>
      <c r="G9" s="42">
        <v>1379839</v>
      </c>
      <c r="H9" s="38">
        <v>82023</v>
      </c>
      <c r="I9" s="38">
        <v>3279363</v>
      </c>
      <c r="J9" s="38">
        <v>2299616</v>
      </c>
      <c r="K9" s="38">
        <v>5999249</v>
      </c>
      <c r="L9" s="38">
        <v>3214666</v>
      </c>
      <c r="M9" s="246">
        <v>1939700</v>
      </c>
      <c r="N9" s="246">
        <v>0</v>
      </c>
      <c r="O9" s="297">
        <v>3849679</v>
      </c>
      <c r="P9" s="297">
        <v>1499917</v>
      </c>
      <c r="Q9" s="297">
        <v>599997</v>
      </c>
      <c r="R9" s="297">
        <v>0</v>
      </c>
      <c r="S9" s="297">
        <v>4999904</v>
      </c>
      <c r="T9" s="297">
        <v>1499996</v>
      </c>
    </row>
    <row r="10" spans="1:20" ht="15" customHeight="1">
      <c r="A10" s="57" t="s">
        <v>338</v>
      </c>
      <c r="B10" s="57" t="s">
        <v>348</v>
      </c>
      <c r="C10" s="38">
        <f>C11</f>
        <v>2030120</v>
      </c>
      <c r="D10" s="38">
        <f>D11</f>
        <v>2149873</v>
      </c>
      <c r="E10" s="38">
        <f>E11</f>
        <v>2162420</v>
      </c>
      <c r="F10" s="38">
        <f>F11</f>
        <v>2089741</v>
      </c>
      <c r="G10" s="38">
        <f t="shared" ref="G10:N10" si="8">G11</f>
        <v>2089741</v>
      </c>
      <c r="H10" s="38">
        <f t="shared" si="8"/>
        <v>2130263</v>
      </c>
      <c r="I10" s="38">
        <f t="shared" si="8"/>
        <v>2131693</v>
      </c>
      <c r="J10" s="38">
        <f t="shared" si="8"/>
        <v>2089119</v>
      </c>
      <c r="K10" s="38">
        <f t="shared" si="8"/>
        <v>1818672</v>
      </c>
      <c r="L10" s="38">
        <f t="shared" si="8"/>
        <v>2003010</v>
      </c>
      <c r="M10" s="246">
        <f t="shared" si="8"/>
        <v>2020675</v>
      </c>
      <c r="N10" s="246">
        <f t="shared" si="8"/>
        <v>2044743</v>
      </c>
      <c r="O10" s="297">
        <f t="shared" ref="O10:T10" si="9">O11</f>
        <v>2066633</v>
      </c>
      <c r="P10" s="297">
        <f t="shared" si="9"/>
        <v>2130472</v>
      </c>
      <c r="Q10" s="297">
        <f t="shared" si="9"/>
        <v>9770462</v>
      </c>
      <c r="R10" s="297">
        <f t="shared" si="9"/>
        <v>14253940</v>
      </c>
      <c r="S10" s="297">
        <f t="shared" si="9"/>
        <v>14550957</v>
      </c>
      <c r="T10" s="297">
        <f t="shared" si="9"/>
        <v>15569056</v>
      </c>
    </row>
    <row r="11" spans="1:20" ht="15" customHeight="1">
      <c r="A11" s="57" t="s">
        <v>335</v>
      </c>
      <c r="B11" s="57" t="s">
        <v>349</v>
      </c>
      <c r="C11" s="38">
        <v>2030120</v>
      </c>
      <c r="D11" s="38">
        <v>2149873</v>
      </c>
      <c r="E11" s="38">
        <v>2162420</v>
      </c>
      <c r="F11" s="38">
        <v>2089741</v>
      </c>
      <c r="G11" s="38">
        <v>2089741</v>
      </c>
      <c r="H11" s="38">
        <v>2130263</v>
      </c>
      <c r="I11" s="38">
        <v>2131693</v>
      </c>
      <c r="J11" s="38">
        <v>2089119</v>
      </c>
      <c r="K11" s="38">
        <v>1818672</v>
      </c>
      <c r="L11" s="38">
        <v>2003010</v>
      </c>
      <c r="M11" s="246">
        <v>2020675</v>
      </c>
      <c r="N11" s="246">
        <v>2044743</v>
      </c>
      <c r="O11" s="297">
        <v>2066633</v>
      </c>
      <c r="P11" s="297">
        <v>2130472</v>
      </c>
      <c r="Q11" s="297">
        <v>9770462</v>
      </c>
      <c r="R11" s="297">
        <v>14253940</v>
      </c>
      <c r="S11" s="297">
        <v>14550957</v>
      </c>
      <c r="T11" s="297">
        <v>15569056</v>
      </c>
    </row>
    <row r="12" spans="1:20" ht="40.5" customHeight="1">
      <c r="A12" s="56" t="s">
        <v>339</v>
      </c>
      <c r="B12" s="59" t="s">
        <v>350</v>
      </c>
      <c r="C12" s="83"/>
      <c r="D12" s="83"/>
      <c r="E12" s="83"/>
      <c r="F12" s="62"/>
      <c r="G12" s="62">
        <v>93165</v>
      </c>
      <c r="H12" s="62">
        <f>3390+95848</f>
        <v>99238</v>
      </c>
      <c r="I12" s="62">
        <f>2356+116390</f>
        <v>118746</v>
      </c>
      <c r="J12" s="62">
        <f>1855+129475</f>
        <v>131330</v>
      </c>
      <c r="K12" s="62">
        <f>134741+1770</f>
        <v>136511</v>
      </c>
      <c r="L12" s="62">
        <f>162016+1862</f>
        <v>163878</v>
      </c>
      <c r="M12" s="247">
        <v>177035</v>
      </c>
      <c r="N12" s="247">
        <v>187335</v>
      </c>
      <c r="O12" s="298">
        <v>194285</v>
      </c>
      <c r="P12" s="298">
        <v>181321</v>
      </c>
      <c r="Q12" s="298">
        <v>205854</v>
      </c>
      <c r="R12" s="298">
        <f>103259+436</f>
        <v>103695</v>
      </c>
      <c r="S12" s="298">
        <v>110155</v>
      </c>
      <c r="T12" s="298">
        <v>112080</v>
      </c>
    </row>
    <row r="13" spans="1:20" s="3" customFormat="1" ht="37.5" customHeight="1">
      <c r="A13" s="56" t="s">
        <v>654</v>
      </c>
      <c r="B13" s="59" t="s">
        <v>655</v>
      </c>
      <c r="C13" s="83"/>
      <c r="D13" s="83"/>
      <c r="E13" s="83"/>
      <c r="F13" s="62"/>
      <c r="G13" s="62"/>
      <c r="H13" s="62"/>
      <c r="I13" s="62"/>
      <c r="J13" s="62"/>
      <c r="K13" s="62"/>
      <c r="L13" s="62"/>
      <c r="M13" s="62"/>
      <c r="N13" s="62"/>
      <c r="O13" s="62"/>
      <c r="P13" s="62"/>
      <c r="Q13" s="62"/>
      <c r="R13" s="62">
        <f>R14</f>
        <v>105973</v>
      </c>
      <c r="S13" s="62">
        <f>S14</f>
        <v>115896</v>
      </c>
      <c r="T13" s="62">
        <f>T14</f>
        <v>118432</v>
      </c>
    </row>
    <row r="14" spans="1:20" s="441" customFormat="1" ht="15" customHeight="1">
      <c r="A14" s="182" t="s">
        <v>342</v>
      </c>
      <c r="B14" s="33" t="s">
        <v>353</v>
      </c>
      <c r="C14" s="442"/>
      <c r="D14" s="442"/>
      <c r="E14" s="442"/>
      <c r="F14" s="38"/>
      <c r="G14" s="38"/>
      <c r="H14" s="38"/>
      <c r="I14" s="38"/>
      <c r="J14" s="38"/>
      <c r="K14" s="38"/>
      <c r="L14" s="38"/>
      <c r="M14" s="38"/>
      <c r="N14" s="38"/>
      <c r="O14" s="38"/>
      <c r="P14" s="38"/>
      <c r="Q14" s="38"/>
      <c r="R14" s="38">
        <v>105973</v>
      </c>
      <c r="S14" s="38">
        <v>115896</v>
      </c>
      <c r="T14" s="38">
        <v>118432</v>
      </c>
    </row>
    <row r="15" spans="1:20" ht="39.75" customHeight="1">
      <c r="A15" s="59" t="s">
        <v>340</v>
      </c>
      <c r="B15" s="59" t="s">
        <v>351</v>
      </c>
      <c r="C15" s="83"/>
      <c r="D15" s="83"/>
      <c r="E15" s="83"/>
      <c r="F15" s="62"/>
      <c r="G15" s="62">
        <f>G17+G18</f>
        <v>812620</v>
      </c>
      <c r="H15" s="62">
        <f t="shared" ref="H15:M15" si="10">H17+H18</f>
        <v>811584</v>
      </c>
      <c r="I15" s="62">
        <f t="shared" si="10"/>
        <v>843573</v>
      </c>
      <c r="J15" s="62">
        <f t="shared" si="10"/>
        <v>841340</v>
      </c>
      <c r="K15" s="62">
        <f t="shared" si="10"/>
        <v>821538</v>
      </c>
      <c r="L15" s="62">
        <f t="shared" si="10"/>
        <v>817717</v>
      </c>
      <c r="M15" s="330">
        <f t="shared" si="10"/>
        <v>807301</v>
      </c>
      <c r="N15" s="330">
        <f t="shared" ref="N15:S15" si="11">N17+N18</f>
        <v>808758</v>
      </c>
      <c r="O15" s="329">
        <f t="shared" si="11"/>
        <v>884912</v>
      </c>
      <c r="P15" s="329">
        <f t="shared" si="11"/>
        <v>881236</v>
      </c>
      <c r="Q15" s="329">
        <f t="shared" si="11"/>
        <v>801440</v>
      </c>
      <c r="R15" s="329">
        <f t="shared" si="11"/>
        <v>808264</v>
      </c>
      <c r="S15" s="329">
        <f t="shared" si="11"/>
        <v>857331</v>
      </c>
      <c r="T15" s="329">
        <f t="shared" ref="T15" si="12">T17+T18</f>
        <v>1336707</v>
      </c>
    </row>
    <row r="16" spans="1:20" s="3" customFormat="1">
      <c r="A16" s="59" t="s">
        <v>387</v>
      </c>
      <c r="B16" s="59" t="s">
        <v>592</v>
      </c>
      <c r="C16" s="62">
        <f>C17+C18</f>
        <v>878321</v>
      </c>
      <c r="D16" s="62">
        <f>D17+D18</f>
        <v>888437</v>
      </c>
      <c r="E16" s="62">
        <f>E17+E18</f>
        <v>914701</v>
      </c>
      <c r="F16" s="62">
        <f>F17+F18</f>
        <v>920879</v>
      </c>
      <c r="G16" s="62"/>
      <c r="H16" s="62"/>
      <c r="I16" s="62"/>
      <c r="J16" s="62"/>
      <c r="K16" s="62"/>
      <c r="L16" s="62"/>
      <c r="M16" s="247"/>
      <c r="N16" s="247"/>
      <c r="O16" s="298"/>
      <c r="P16" s="298"/>
      <c r="Q16" s="298"/>
      <c r="R16" s="298"/>
      <c r="S16" s="298"/>
      <c r="T16" s="298"/>
    </row>
    <row r="17" spans="1:21" ht="15" customHeight="1">
      <c r="A17" s="33" t="s">
        <v>341</v>
      </c>
      <c r="B17" s="33" t="s">
        <v>352</v>
      </c>
      <c r="C17" s="38">
        <v>22970</v>
      </c>
      <c r="D17" s="38">
        <v>22405</v>
      </c>
      <c r="E17" s="38">
        <v>22093</v>
      </c>
      <c r="F17" s="38">
        <v>19329</v>
      </c>
      <c r="G17" s="38">
        <v>19329</v>
      </c>
      <c r="H17" s="38">
        <v>19663</v>
      </c>
      <c r="I17" s="38">
        <v>18663</v>
      </c>
      <c r="J17" s="38">
        <v>16297</v>
      </c>
      <c r="K17" s="38">
        <v>16720</v>
      </c>
      <c r="L17" s="38">
        <v>12897</v>
      </c>
      <c r="M17" s="246">
        <v>13997</v>
      </c>
      <c r="N17" s="246">
        <v>15164</v>
      </c>
      <c r="O17" s="297">
        <v>19996</v>
      </c>
      <c r="P17" s="297">
        <v>16280</v>
      </c>
      <c r="Q17" s="297">
        <v>19996</v>
      </c>
      <c r="R17" s="297">
        <v>24328</v>
      </c>
      <c r="S17" s="297">
        <v>30594</v>
      </c>
      <c r="T17" s="297">
        <v>42991</v>
      </c>
    </row>
    <row r="18" spans="1:21" ht="15" customHeight="1">
      <c r="A18" s="57" t="s">
        <v>342</v>
      </c>
      <c r="B18" s="57" t="s">
        <v>353</v>
      </c>
      <c r="C18" s="38">
        <v>855351</v>
      </c>
      <c r="D18" s="38">
        <v>866032</v>
      </c>
      <c r="E18" s="38">
        <v>892608</v>
      </c>
      <c r="F18" s="38">
        <v>901550</v>
      </c>
      <c r="G18" s="38">
        <v>793291</v>
      </c>
      <c r="H18" s="38">
        <v>791921</v>
      </c>
      <c r="I18" s="38">
        <v>824910</v>
      </c>
      <c r="J18" s="38">
        <v>825043</v>
      </c>
      <c r="K18" s="38">
        <v>804818</v>
      </c>
      <c r="L18" s="38">
        <v>804820</v>
      </c>
      <c r="M18" s="246">
        <v>793304</v>
      </c>
      <c r="N18" s="246">
        <v>793594</v>
      </c>
      <c r="O18" s="297">
        <v>864916</v>
      </c>
      <c r="P18" s="297">
        <v>864956</v>
      </c>
      <c r="Q18" s="297">
        <v>781444</v>
      </c>
      <c r="R18" s="297">
        <v>783936</v>
      </c>
      <c r="S18" s="297">
        <v>826737</v>
      </c>
      <c r="T18" s="297">
        <v>1293716</v>
      </c>
    </row>
    <row r="19" spans="1:21" ht="15" customHeight="1">
      <c r="A19" s="35" t="s">
        <v>58</v>
      </c>
      <c r="B19" s="35" t="s">
        <v>43</v>
      </c>
      <c r="C19" s="190">
        <f>C4+C16</f>
        <v>25090751</v>
      </c>
      <c r="D19" s="190">
        <f>D4+D16</f>
        <v>25072507</v>
      </c>
      <c r="E19" s="190">
        <f>E4+E16</f>
        <v>25926495</v>
      </c>
      <c r="F19" s="190">
        <f>F4+F16</f>
        <v>26905088</v>
      </c>
      <c r="G19" s="191">
        <f>G3+G12+G15</f>
        <v>26889994</v>
      </c>
      <c r="H19" s="191">
        <f>H3+H12+H15</f>
        <v>27661682</v>
      </c>
      <c r="I19" s="191">
        <f>I3+I12+I13+I15</f>
        <v>33527451</v>
      </c>
      <c r="J19" s="191">
        <f t="shared" ref="J19:R19" si="13">J3+J12+J13+J15</f>
        <v>33986072</v>
      </c>
      <c r="K19" s="191">
        <f t="shared" si="13"/>
        <v>37844506</v>
      </c>
      <c r="L19" s="191">
        <f t="shared" si="13"/>
        <v>37976558</v>
      </c>
      <c r="M19" s="191">
        <f t="shared" si="13"/>
        <v>38081452</v>
      </c>
      <c r="N19" s="191">
        <f t="shared" si="13"/>
        <v>37581667</v>
      </c>
      <c r="O19" s="191">
        <f t="shared" si="13"/>
        <v>41328134</v>
      </c>
      <c r="P19" s="191">
        <f t="shared" si="13"/>
        <v>41193093</v>
      </c>
      <c r="Q19" s="191">
        <f t="shared" si="13"/>
        <v>56806942</v>
      </c>
      <c r="R19" s="191">
        <f t="shared" si="13"/>
        <v>61209949</v>
      </c>
      <c r="S19" s="191">
        <f t="shared" ref="S19:T19" si="14">S3+S12+S13+S15</f>
        <v>66783434</v>
      </c>
      <c r="T19" s="191">
        <f t="shared" si="14"/>
        <v>68758852</v>
      </c>
    </row>
    <row r="20" spans="1:21" s="3" customFormat="1">
      <c r="B20" s="188"/>
      <c r="C20" s="331">
        <f>C19-BS!D11</f>
        <v>0</v>
      </c>
      <c r="D20" s="331">
        <f>D19-BS!E11</f>
        <v>0</v>
      </c>
      <c r="E20" s="331">
        <f>E19-BS!F11</f>
        <v>0</v>
      </c>
      <c r="F20" s="331">
        <f>F19-BS!G11</f>
        <v>0</v>
      </c>
      <c r="G20" s="331">
        <f>BS!H12-G19</f>
        <v>0</v>
      </c>
      <c r="H20" s="331">
        <f>H19-BS!I12</f>
        <v>0</v>
      </c>
      <c r="I20" s="331">
        <f>I19-BS!J12</f>
        <v>0</v>
      </c>
      <c r="J20" s="331">
        <f>J19-BS!K12</f>
        <v>0</v>
      </c>
      <c r="K20" s="331">
        <f>K19-BS!L12</f>
        <v>0</v>
      </c>
      <c r="L20" s="331">
        <f>L19-BS!M12</f>
        <v>0</v>
      </c>
      <c r="M20" s="331">
        <f>M19-BS!N12</f>
        <v>0</v>
      </c>
      <c r="N20" s="331">
        <f>N19-BS!O12</f>
        <v>0</v>
      </c>
      <c r="O20" s="331">
        <f>O19-BS!P12</f>
        <v>0</v>
      </c>
      <c r="P20" s="189">
        <f>BS!Q12-P19</f>
        <v>0</v>
      </c>
      <c r="Q20" s="189">
        <f>BS!R12-Q19</f>
        <v>0</v>
      </c>
      <c r="R20" s="189">
        <f>BS!S12-R19</f>
        <v>0</v>
      </c>
      <c r="S20" s="189">
        <f>BS!T12-S19</f>
        <v>0</v>
      </c>
      <c r="T20" s="189">
        <f>BS!U12-T19</f>
        <v>0</v>
      </c>
      <c r="U20" s="188"/>
    </row>
    <row r="21" spans="1:21" s="3" customFormat="1">
      <c r="B21" s="188"/>
      <c r="C21" s="188"/>
      <c r="D21" s="189"/>
      <c r="E21" s="188"/>
      <c r="F21" s="189"/>
      <c r="G21" s="242">
        <f>G20-G19</f>
        <v>-26889994</v>
      </c>
      <c r="H21" s="189"/>
      <c r="I21" s="189"/>
      <c r="J21" s="324"/>
      <c r="K21" s="188"/>
      <c r="L21" s="188"/>
      <c r="M21" s="188"/>
      <c r="N21" s="188"/>
      <c r="O21" s="188"/>
      <c r="P21" s="188"/>
      <c r="Q21" s="188"/>
      <c r="R21" s="188"/>
      <c r="S21" s="188"/>
      <c r="T21" s="188"/>
      <c r="U21" s="188"/>
    </row>
    <row r="22" spans="1:21">
      <c r="B22" s="188"/>
      <c r="C22" s="188"/>
      <c r="D22" s="189"/>
      <c r="E22" s="189"/>
      <c r="F22" s="189"/>
      <c r="G22" s="242"/>
      <c r="H22" s="189"/>
      <c r="I22" s="189"/>
      <c r="J22" s="189"/>
      <c r="K22" s="189"/>
      <c r="L22" s="189"/>
      <c r="M22" s="189"/>
      <c r="N22" s="189"/>
      <c r="O22" s="189"/>
      <c r="P22" s="188"/>
      <c r="Q22" s="188"/>
      <c r="R22" s="188"/>
      <c r="S22" s="188"/>
      <c r="T22" s="188"/>
      <c r="U22" s="188"/>
    </row>
    <row r="23" spans="1:21">
      <c r="B23" s="188"/>
      <c r="C23" s="188"/>
      <c r="D23" s="188"/>
      <c r="E23" s="188"/>
      <c r="F23" s="188"/>
      <c r="G23" s="328"/>
      <c r="H23" s="188"/>
      <c r="I23" s="188"/>
      <c r="J23" s="188"/>
      <c r="K23" s="188"/>
      <c r="L23" s="188"/>
      <c r="M23" s="188"/>
      <c r="N23" s="188"/>
      <c r="O23" s="188"/>
      <c r="P23" s="188"/>
      <c r="Q23" s="188"/>
      <c r="R23" s="188"/>
      <c r="S23" s="188"/>
      <c r="T23" s="188"/>
      <c r="U23" s="188"/>
    </row>
    <row r="24" spans="1:21" ht="15.75">
      <c r="B24" s="188"/>
      <c r="C24" s="188"/>
      <c r="D24" s="188"/>
      <c r="E24" s="188"/>
      <c r="F24" s="188"/>
      <c r="G24" s="292">
        <v>25984209</v>
      </c>
      <c r="H24" s="188"/>
      <c r="I24" s="188"/>
      <c r="J24" s="188"/>
      <c r="K24" s="188"/>
      <c r="L24" s="188"/>
      <c r="M24" s="188"/>
      <c r="N24" s="188"/>
      <c r="O24" s="188"/>
      <c r="P24" s="188"/>
      <c r="Q24" s="188"/>
      <c r="R24" s="188"/>
      <c r="S24" s="188"/>
      <c r="T24" s="188"/>
      <c r="U24" s="188"/>
    </row>
    <row r="25" spans="1:21" ht="15.75">
      <c r="B25" s="188"/>
      <c r="C25" s="188"/>
      <c r="D25" s="188"/>
      <c r="E25" s="188"/>
      <c r="F25" s="188"/>
      <c r="G25" s="292">
        <v>93165</v>
      </c>
      <c r="H25" s="188"/>
      <c r="I25" s="188"/>
      <c r="J25" s="188"/>
      <c r="K25" s="188"/>
      <c r="L25" s="188"/>
      <c r="M25" s="188"/>
      <c r="N25" s="188"/>
      <c r="O25" s="188"/>
      <c r="P25" s="188"/>
      <c r="Q25" s="188"/>
      <c r="R25" s="188"/>
      <c r="S25" s="188"/>
      <c r="T25" s="188"/>
      <c r="U25" s="188"/>
    </row>
    <row r="26" spans="1:21" ht="15.75">
      <c r="B26" s="188"/>
      <c r="C26" s="188"/>
      <c r="D26" s="188"/>
      <c r="E26" s="188"/>
      <c r="F26" s="188"/>
      <c r="G26" s="292">
        <v>812620</v>
      </c>
      <c r="H26" s="188"/>
      <c r="I26" s="188"/>
      <c r="J26" s="189"/>
      <c r="K26" s="188"/>
      <c r="L26" s="188"/>
      <c r="M26" s="188"/>
      <c r="N26" s="188"/>
      <c r="O26" s="188"/>
      <c r="P26" s="188"/>
      <c r="Q26" s="188"/>
      <c r="R26" s="188"/>
      <c r="S26" s="188"/>
      <c r="T26" s="188"/>
      <c r="U26" s="188"/>
    </row>
    <row r="27" spans="1:21">
      <c r="C27" s="188"/>
      <c r="D27" s="188"/>
      <c r="E27" s="188"/>
      <c r="F27" s="188"/>
      <c r="G27" s="328"/>
      <c r="H27" s="188"/>
      <c r="I27" s="188"/>
      <c r="J27" s="189"/>
      <c r="K27" s="188"/>
      <c r="L27" s="188"/>
      <c r="M27" s="188"/>
      <c r="N27" s="188"/>
      <c r="O27" s="188"/>
      <c r="P27" s="314"/>
    </row>
    <row r="28" spans="1:21">
      <c r="C28" s="188"/>
      <c r="D28" s="188"/>
      <c r="E28" s="188"/>
      <c r="F28" s="188"/>
      <c r="G28" s="328"/>
      <c r="H28" s="188"/>
      <c r="I28" s="188"/>
      <c r="J28" s="188"/>
      <c r="K28" s="188"/>
      <c r="L28" s="188"/>
      <c r="M28" s="188"/>
      <c r="N28" s="188"/>
      <c r="O28" s="188"/>
      <c r="P28" s="314"/>
    </row>
    <row r="29" spans="1:21">
      <c r="C29" s="188"/>
      <c r="D29" s="188"/>
      <c r="E29" s="188"/>
      <c r="F29" s="188"/>
      <c r="G29" s="188"/>
      <c r="H29" s="188"/>
      <c r="I29" s="188"/>
      <c r="J29" s="188"/>
      <c r="K29" s="188"/>
      <c r="L29" s="188"/>
      <c r="M29" s="188"/>
      <c r="N29" s="188"/>
      <c r="O29" s="188"/>
      <c r="P29" s="314"/>
    </row>
    <row r="30" spans="1:21">
      <c r="C30" s="188"/>
      <c r="D30" s="188"/>
      <c r="E30" s="188"/>
      <c r="F30" s="188"/>
      <c r="G30" s="188"/>
      <c r="H30" s="188"/>
      <c r="I30" s="188"/>
      <c r="J30" s="188"/>
      <c r="K30" s="188"/>
      <c r="L30" s="188"/>
      <c r="M30" s="188"/>
      <c r="N30" s="188"/>
      <c r="O30" s="188"/>
      <c r="P30" s="314"/>
    </row>
    <row r="31" spans="1:21">
      <c r="C31" s="188"/>
      <c r="D31" s="188"/>
      <c r="E31" s="188"/>
      <c r="F31" s="188"/>
      <c r="G31" s="188"/>
      <c r="H31" s="188"/>
      <c r="I31" s="188"/>
      <c r="J31" s="188"/>
      <c r="K31" s="188"/>
      <c r="L31" s="188"/>
      <c r="M31" s="188"/>
      <c r="N31" s="188"/>
      <c r="O31" s="188"/>
      <c r="P31" s="314"/>
    </row>
    <row r="32" spans="1:21">
      <c r="C32" s="188"/>
      <c r="D32" s="188"/>
      <c r="E32" s="188"/>
      <c r="F32" s="188"/>
      <c r="G32" s="188"/>
      <c r="H32" s="188"/>
      <c r="I32" s="188"/>
      <c r="J32" s="188"/>
      <c r="K32" s="188"/>
      <c r="L32" s="188"/>
      <c r="M32" s="188"/>
      <c r="N32" s="188"/>
      <c r="O32" s="188"/>
    </row>
    <row r="33" spans="3:15">
      <c r="C33" s="188"/>
      <c r="D33" s="188"/>
      <c r="E33" s="188"/>
      <c r="F33" s="188"/>
      <c r="G33" s="188"/>
      <c r="H33" s="188"/>
      <c r="I33" s="188"/>
      <c r="J33" s="188"/>
      <c r="K33" s="188"/>
      <c r="L33" s="188"/>
      <c r="M33" s="188"/>
      <c r="N33" s="188"/>
      <c r="O33" s="188"/>
    </row>
  </sheetData>
  <customSheetViews>
    <customSheetView guid="{2A0EA35A-7F53-4AD8-895C-C234D094A4A4}">
      <selection activeCell="B23" sqref="B23"/>
      <pageMargins left="0.7" right="0.7" top="0.75" bottom="0.75" header="0.3" footer="0.3"/>
      <pageSetup paperSize="9" orientation="portrait" horizontalDpi="1200" verticalDpi="1200" r:id="rId1"/>
    </customSheetView>
    <customSheetView guid="{8DA78CF1-615A-4626-9893-6751995631A4}" hiddenColumns="1">
      <selection activeCell="P23" sqref="P23"/>
      <pageMargins left="0.7" right="0.7" top="0.75" bottom="0.75" header="0.3" footer="0.3"/>
      <pageSetup paperSize="9" orientation="portrait" horizontalDpi="1200" verticalDpi="1200" r:id="rId2"/>
    </customSheetView>
    <customSheetView guid="{899D69CD-4B7E-42BC-9944-5BD922EB798C}" topLeftCell="I1">
      <selection activeCell="H12" sqref="H12"/>
      <pageMargins left="0.7" right="0.7" top="0.75" bottom="0.75" header="0.3" footer="0.3"/>
    </customSheetView>
    <customSheetView guid="{25FAB884-5E17-4008-8139-33D910C7DEFE}">
      <selection activeCell="D14" sqref="D14"/>
      <pageMargins left="0.7" right="0.7" top="0.75" bottom="0.75" header="0.3" footer="0.3"/>
      <pageSetup paperSize="9" orientation="portrait" horizontalDpi="1200" verticalDpi="1200" r:id="rId3"/>
    </customSheetView>
    <customSheetView guid="{57267270-6A97-4850-9DB6-FE6B399379AA}" scale="110" topLeftCell="C1">
      <selection activeCell="M15" sqref="M15"/>
      <pageMargins left="0.7" right="0.7" top="0.75" bottom="0.75" header="0.3" footer="0.3"/>
      <pageSetup paperSize="9" orientation="portrait" horizontalDpi="1200" verticalDpi="1200" r:id="rId4"/>
    </customSheetView>
    <customSheetView guid="{687A4863-1825-4D63-B732-E76682E6DE4F}" scale="42">
      <selection activeCell="B3" sqref="B3"/>
      <pageMargins left="0.7" right="0.7" top="0.75" bottom="0.75" header="0.3" footer="0.3"/>
    </customSheetView>
    <customSheetView guid="{9AF4A83C-CF57-4B40-8A74-6A0EA6C2FE5C}" hiddenColumns="1">
      <selection activeCell="P23" sqref="P23"/>
      <pageMargins left="0.7" right="0.7" top="0.75" bottom="0.75" header="0.3" footer="0.3"/>
      <pageSetup paperSize="9" orientation="portrait" horizontalDpi="1200" verticalDpi="1200" r:id="rId5"/>
    </customSheetView>
    <customSheetView guid="{12F8D032-8143-430B-8DFF-852E8796C402}">
      <selection activeCell="B3" sqref="B3"/>
      <pageMargins left="0.7" right="0.7" top="0.75" bottom="0.75" header="0.3" footer="0.3"/>
    </customSheetView>
  </customSheetViews>
  <pageMargins left="0.7" right="0.7" top="0.75" bottom="0.75" header="0.3" footer="0.3"/>
  <pageSetup paperSize="9" orientation="portrait" horizontalDpi="1200" verticalDpi="1200"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2</vt:i4>
      </vt:variant>
    </vt:vector>
  </HeadingPairs>
  <TitlesOfParts>
    <vt:vector size="23"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Rezerwy_RZiS _Q (2)</vt:lpstr>
      <vt:lpstr>Wskaźniki </vt:lpstr>
      <vt:lpstr>Jakość należności od klientów </vt:lpstr>
      <vt:lpstr>Wybrane dane niefinansowe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2021-04-28T05:38:10Z</dcterms:modified>
</cp:coreProperties>
</file>