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19\Prezentacja 4Q 2019\"/>
    </mc:Choice>
  </mc:AlternateContent>
  <bookViews>
    <workbookView xWindow="0" yWindow="0" windowWidth="9600" windowHeight="3300" tabRatio="655"/>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Wybrane dane niefinansowe " sheetId="18" r:id="rId18"/>
    <sheet name="Jakość należności od klientów " sheetId="19" r:id="rId19"/>
    <sheet name="Arkusz1"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BS!$C$1:$D$49</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obrotu'!$M:$S</definedName>
    <definedName name="Z_12F8D032_8143_430B_8DFF_852E8796C402_.wvu.Cols" localSheetId="3" hidden="1">'Przychody prowizyjne'!$L:$N</definedName>
    <definedName name="Z_12F8D032_8143_430B_8DFF_852E8796C402_.wvu.Rows" localSheetId="1" hidden="1">BS!$52:$52</definedName>
    <definedName name="Z_12F8D032_8143_430B_8DFF_852E8796C402_.wvu.Rows" localSheetId="0" hidden="1">'P&amp;L'!$34:$54</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BS!$52:$52</definedName>
    <definedName name="Z_6587DC74_DEB6_4452_A434_417A9595CDDC_.wvu.Rows" localSheetId="0" hidden="1">'P&amp;L'!$34:$54</definedName>
    <definedName name="Z_687A4863_1825_4D63_B732_E76682E6DE4F_.wvu.Cols" localSheetId="12" hidden="1">'Aktywa i zobow. fin. do obrotu'!$M:$S</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BS!$A$1:$P$49</definedName>
    <definedName name="Z_8DA78CF1_615A_4626_9893_6751995631A4_.wvu.PrintArea" localSheetId="1" hidden="1">BS!$A$1:$P$50</definedName>
    <definedName name="Z_9788B417_CC07_4FDA_845B_D10161BBB5F4_.wvu.Rows" localSheetId="17" hidden="1">'Wybrane dane niefinansowe '!#REF!,'Wybrane dane niefinansowe '!#REF!</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Kosowska Bożena - Widok osobisty" guid="{25FAB884-5E17-4008-8139-33D910C7DEFE}" mergeInterval="0" personalView="1" maximized="1" xWindow="-8" yWindow="-8" windowWidth="1936" windowHeight="1176" tabRatio="655" activeSheetId="5"/>
    <customWorkbookView name="Dziadczyk Marzena - Widok osobisty" guid="{8DA78CF1-615A-4626-9893-6751995631A4}" mergeInterval="0" personalView="1" maximized="1" xWindow="-8" yWindow="-8" windowWidth="1936" windowHeight="1176" activeSheetId="12"/>
    <customWorkbookView name="Kozłowska Agnieszka B - Widok osobisty" guid="{687A4863-1825-4D63-B732-E76682E6DE4F}" mergeInterval="0" personalView="1" maximized="1" xWindow="-8" yWindow="-8" windowWidth="1936" windowHeight="1176" tabRatio="820" activeSheetId="4"/>
    <customWorkbookView name="Chudyma Marta - Widok osobisty" guid="{899D69CD-4B7E-42BC-9944-5BD922EB798C}" mergeInterval="0" personalView="1" maximized="1" xWindow="-8" yWindow="-8" windowWidth="1936" windowHeight="1176" tabRatio="655" activeSheetId="2"/>
    <customWorkbookView name="Stadler Dorota - Widok osobisty" guid="{9AF4A83C-CF57-4B40-8A74-6A0EA6C2FE5C}" mergeInterval="0" personalView="1" maximized="1" xWindow="-8" yWindow="-8" windowWidth="1936" windowHeight="1176" activeSheetId="13"/>
    <customWorkbookView name="Cieciura Dorota - Widok osobisty" guid="{57267270-6A97-4850-9DB6-FE6B399379AA}" mergeInterval="0" personalView="1" maximized="1" xWindow="-9" yWindow="-9" windowWidth="1938" windowHeight="1048" activeSheetId="11"/>
    <customWorkbookView name="Słaba Dorota - Widok osobisty" guid="{12F8D032-8143-430B-8DFF-852E8796C402}" mergeInterval="0" personalView="1" maximized="1" xWindow="-8" yWindow="-8" windowWidth="1696" windowHeight="1026" activeSheetId="20"/>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s>
</workbook>
</file>

<file path=xl/calcChain.xml><?xml version="1.0" encoding="utf-8"?>
<calcChain xmlns="http://schemas.openxmlformats.org/spreadsheetml/2006/main">
  <c r="G17" i="19" l="1"/>
  <c r="G16" i="19"/>
  <c r="G15" i="19"/>
  <c r="C2" i="3" l="1"/>
  <c r="D2" i="3"/>
  <c r="E2" i="3"/>
  <c r="F2" i="3"/>
  <c r="H2" i="3"/>
  <c r="I2" i="3"/>
  <c r="J2" i="3"/>
  <c r="K2" i="3"/>
  <c r="L2" i="3"/>
  <c r="M2" i="3"/>
  <c r="N2" i="3"/>
  <c r="G2" i="3"/>
  <c r="H6" i="3"/>
  <c r="I6" i="3"/>
  <c r="J6" i="3"/>
  <c r="K6" i="3"/>
  <c r="L6" i="3"/>
  <c r="M6" i="3"/>
  <c r="N6" i="3"/>
  <c r="G6" i="3"/>
  <c r="H7" i="3"/>
  <c r="I7" i="3"/>
  <c r="J7" i="3"/>
  <c r="K7" i="3"/>
  <c r="L7" i="3"/>
  <c r="M7" i="3"/>
  <c r="N7" i="3"/>
  <c r="G7" i="3"/>
  <c r="N11" i="8" l="1"/>
  <c r="D39" i="13"/>
  <c r="E39" i="13"/>
  <c r="F39" i="13"/>
  <c r="G39" i="13"/>
  <c r="H39" i="13"/>
  <c r="I39" i="13"/>
  <c r="J39" i="13"/>
  <c r="K39" i="13"/>
  <c r="L39" i="13"/>
  <c r="M39" i="13"/>
  <c r="N39" i="13"/>
  <c r="O39" i="13"/>
  <c r="C39" i="13"/>
  <c r="F10" i="9"/>
  <c r="O3" i="1"/>
  <c r="O4" i="1"/>
  <c r="O5" i="1"/>
  <c r="O6" i="1"/>
  <c r="O7" i="1"/>
  <c r="O8" i="1"/>
  <c r="O9" i="1"/>
  <c r="O10" i="1"/>
  <c r="O11" i="1"/>
  <c r="O12" i="1"/>
  <c r="O13" i="1"/>
  <c r="O14" i="1"/>
  <c r="O15" i="1"/>
  <c r="O16" i="1"/>
  <c r="O17" i="1"/>
  <c r="O18" i="1"/>
  <c r="O19" i="1"/>
  <c r="O20" i="1"/>
  <c r="O21" i="1"/>
  <c r="O22" i="1"/>
  <c r="O23" i="1"/>
  <c r="O24" i="1"/>
  <c r="O25" i="1"/>
  <c r="O26" i="1"/>
  <c r="O27" i="1"/>
  <c r="O28" i="1"/>
  <c r="O30" i="1"/>
  <c r="O2" i="1"/>
  <c r="E31" i="13" l="1"/>
  <c r="C31" i="13"/>
  <c r="D31" i="13"/>
  <c r="F31" i="13"/>
  <c r="G31" i="13"/>
  <c r="H31" i="13"/>
  <c r="I31" i="13"/>
  <c r="J31" i="13"/>
  <c r="K31" i="13"/>
  <c r="L31" i="13"/>
  <c r="M31" i="13"/>
  <c r="G13" i="9" l="1"/>
  <c r="G8" i="9"/>
  <c r="G5" i="9"/>
  <c r="G10" i="9"/>
  <c r="C18" i="9"/>
  <c r="G21" i="13"/>
  <c r="G12" i="13"/>
  <c r="G10" i="13"/>
  <c r="G7" i="13" s="1"/>
  <c r="G6" i="13" s="1"/>
  <c r="G15" i="13" s="1"/>
  <c r="G8" i="13"/>
  <c r="G2" i="13"/>
  <c r="G38" i="13"/>
  <c r="G27" i="13"/>
  <c r="G3" i="9" l="1"/>
  <c r="G17" i="9" s="1"/>
  <c r="G18" i="9" s="1"/>
  <c r="G32" i="13"/>
  <c r="H41" i="2" l="1"/>
  <c r="H48" i="2" s="1"/>
  <c r="H39" i="2"/>
  <c r="F11" i="10"/>
  <c r="F8" i="10"/>
  <c r="G19" i="9"/>
  <c r="F18" i="10"/>
  <c r="F13" i="10"/>
  <c r="F3" i="10"/>
  <c r="H49" i="2" l="1"/>
  <c r="H26" i="2"/>
  <c r="F23" i="10"/>
  <c r="H50" i="2" l="1"/>
  <c r="J18" i="10" l="1"/>
  <c r="J13" i="10"/>
  <c r="J3" i="10"/>
  <c r="J8" i="10"/>
  <c r="N10" i="8"/>
  <c r="N12" i="8"/>
  <c r="J23" i="10" l="1"/>
  <c r="K17" i="9" l="1"/>
  <c r="L17" i="9"/>
  <c r="M17" i="9"/>
  <c r="N17" i="9"/>
  <c r="O17" i="9"/>
  <c r="I53" i="2" l="1"/>
  <c r="M53" i="2"/>
  <c r="L53" i="2"/>
  <c r="K53" i="2"/>
  <c r="J53" i="2"/>
  <c r="G53" i="2"/>
  <c r="F53" i="2"/>
  <c r="E53" i="2"/>
  <c r="D53" i="2"/>
  <c r="P39" i="2" l="1"/>
  <c r="P41" i="2"/>
  <c r="P48" i="2" s="1"/>
  <c r="O53" i="2"/>
  <c r="P53" i="2"/>
  <c r="P26" i="2"/>
  <c r="I26" i="2"/>
  <c r="O26" i="2"/>
  <c r="J26" i="2"/>
  <c r="N26" i="2"/>
  <c r="E41" i="2"/>
  <c r="E48" i="2" s="1"/>
  <c r="D39" i="2"/>
  <c r="D41" i="2"/>
  <c r="D48" i="2" s="1"/>
  <c r="D26" i="2"/>
  <c r="M26" i="2"/>
  <c r="E26" i="2"/>
  <c r="K26" i="2"/>
  <c r="N53" i="2"/>
  <c r="F26" i="2"/>
  <c r="L26" i="2"/>
  <c r="G26" i="2"/>
  <c r="N12" i="15"/>
  <c r="D49" i="2" l="1"/>
  <c r="D52" i="2" s="1"/>
  <c r="P49" i="2"/>
  <c r="P50" i="2"/>
  <c r="D50" i="2"/>
  <c r="E39" i="2"/>
  <c r="F41" i="2"/>
  <c r="F48" i="2" s="1"/>
  <c r="N13" i="11"/>
  <c r="N7" i="11"/>
  <c r="N3" i="11"/>
  <c r="N17" i="11" s="1"/>
  <c r="E49" i="2" l="1"/>
  <c r="E52" i="2" s="1"/>
  <c r="F39" i="2"/>
  <c r="F49" i="2" s="1"/>
  <c r="G41" i="2"/>
  <c r="G48" i="2" s="1"/>
  <c r="E50" i="2"/>
  <c r="N13" i="14"/>
  <c r="I41" i="2" l="1"/>
  <c r="I48" i="2" s="1"/>
  <c r="G39" i="2"/>
  <c r="G49" i="2" s="1"/>
  <c r="F52" i="2"/>
  <c r="F50" i="2"/>
  <c r="M10" i="3"/>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K3" i="3"/>
  <c r="J3" i="3"/>
  <c r="I3" i="3"/>
  <c r="H3" i="3"/>
  <c r="G3" i="3"/>
  <c r="N5" i="3"/>
  <c r="N10" i="3"/>
  <c r="N9" i="3"/>
  <c r="N8" i="3"/>
  <c r="N4" i="3"/>
  <c r="N3" i="3"/>
  <c r="G52" i="2" l="1"/>
  <c r="G50" i="2"/>
  <c r="I39" i="2"/>
  <c r="I49" i="2" s="1"/>
  <c r="J41" i="2"/>
  <c r="J48" i="2" s="1"/>
  <c r="N10" i="6"/>
  <c r="K41" i="2" l="1"/>
  <c r="K48" i="2" s="1"/>
  <c r="J39" i="2"/>
  <c r="J49" i="2" s="1"/>
  <c r="I52" i="2"/>
  <c r="I50" i="2"/>
  <c r="N12" i="12"/>
  <c r="N4" i="12"/>
  <c r="N6" i="12" s="1"/>
  <c r="N8" i="12"/>
  <c r="O38" i="13"/>
  <c r="O27" i="13"/>
  <c r="O32" i="13" s="1"/>
  <c r="O21" i="13"/>
  <c r="O18" i="13"/>
  <c r="O26" i="13" s="1"/>
  <c r="O35" i="13" s="1"/>
  <c r="O12" i="13"/>
  <c r="O10" i="13"/>
  <c r="O8" i="13"/>
  <c r="O2" i="13"/>
  <c r="O13" i="9"/>
  <c r="O10" i="9"/>
  <c r="O8" i="9"/>
  <c r="O5" i="9"/>
  <c r="O3" i="9" s="1"/>
  <c r="O18" i="9" s="1"/>
  <c r="N12" i="5"/>
  <c r="N9" i="5"/>
  <c r="N11" i="3"/>
  <c r="N19" i="3"/>
  <c r="N22" i="3"/>
  <c r="L41" i="2" l="1"/>
  <c r="L48" i="2" s="1"/>
  <c r="K39" i="2"/>
  <c r="K49" i="2" s="1"/>
  <c r="J52" i="2"/>
  <c r="J50" i="2"/>
  <c r="O7" i="13"/>
  <c r="O6" i="13" s="1"/>
  <c r="O15" i="13" s="1"/>
  <c r="O22" i="13" s="1"/>
  <c r="N27" i="3"/>
  <c r="N35" i="3" s="1"/>
  <c r="N33" i="5"/>
  <c r="N31" i="5"/>
  <c r="N11" i="7"/>
  <c r="N8" i="7"/>
  <c r="N12" i="7" s="1"/>
  <c r="L39" i="2" l="1"/>
  <c r="L49" i="2" s="1"/>
  <c r="K52" i="2"/>
  <c r="K50" i="2"/>
  <c r="M41" i="2"/>
  <c r="M48" i="2" s="1"/>
  <c r="M63" i="4"/>
  <c r="N56" i="4"/>
  <c r="M56" i="4"/>
  <c r="M57" i="4"/>
  <c r="N57" i="4"/>
  <c r="M58" i="4"/>
  <c r="N58" i="4"/>
  <c r="M59" i="4"/>
  <c r="N59" i="4"/>
  <c r="M60" i="4"/>
  <c r="N60" i="4"/>
  <c r="M61" i="4"/>
  <c r="N61" i="4"/>
  <c r="M62" i="4"/>
  <c r="N62" i="4"/>
  <c r="N63" i="4"/>
  <c r="M64" i="4"/>
  <c r="N64" i="4"/>
  <c r="M65" i="4"/>
  <c r="N65" i="4"/>
  <c r="M39" i="2" l="1"/>
  <c r="M49" i="2" s="1"/>
  <c r="N41" i="2"/>
  <c r="N48" i="2" s="1"/>
  <c r="L52" i="2"/>
  <c r="L50" i="2"/>
  <c r="N36" i="4"/>
  <c r="N54" i="4" s="1"/>
  <c r="N51" i="4"/>
  <c r="N66" i="4"/>
  <c r="N31" i="4"/>
  <c r="N39" i="2" l="1"/>
  <c r="N49" i="2" s="1"/>
  <c r="O41" i="2"/>
  <c r="O48" i="2" s="1"/>
  <c r="M52" i="2"/>
  <c r="M50" i="2"/>
  <c r="N16" i="4"/>
  <c r="N33" i="4" s="1"/>
  <c r="O39" i="2" l="1"/>
  <c r="O49" i="2" s="1"/>
  <c r="N52" i="2"/>
  <c r="N50" i="2"/>
  <c r="O52" i="2" l="1"/>
  <c r="O50" i="2"/>
  <c r="M25" i="1"/>
  <c r="L25" i="1"/>
  <c r="L27" i="1" s="1"/>
  <c r="L29" i="1" s="1"/>
  <c r="M27" i="1" l="1"/>
  <c r="M29" i="1" s="1"/>
  <c r="P14" i="1" l="1"/>
  <c r="P16" i="1"/>
  <c r="P28" i="1"/>
  <c r="R16" i="1" l="1"/>
  <c r="R14" i="1"/>
  <c r="R28" i="1"/>
  <c r="P9" i="1"/>
  <c r="R9" i="1" s="1"/>
  <c r="F17" i="19" l="1"/>
  <c r="F16" i="19"/>
  <c r="F15" i="19"/>
  <c r="J25" i="1" l="1"/>
  <c r="J27" i="1" s="1"/>
  <c r="I25" i="1"/>
  <c r="I27" i="1" s="1"/>
  <c r="H25" i="1"/>
  <c r="H27" i="1" s="1"/>
  <c r="F25" i="1"/>
  <c r="F27" i="1" s="1"/>
  <c r="F29" i="1" s="1"/>
  <c r="E25" i="1"/>
  <c r="E27" i="1" s="1"/>
  <c r="E29" i="1" s="1"/>
  <c r="D25" i="1"/>
  <c r="D27" i="1" s="1"/>
  <c r="D29" i="1" s="1"/>
  <c r="C25" i="1"/>
  <c r="C27" i="1" s="1"/>
  <c r="C29" i="1" s="1"/>
  <c r="K20" i="1"/>
  <c r="K18" i="1"/>
  <c r="J18" i="1"/>
  <c r="D18" i="1"/>
  <c r="C18" i="1"/>
  <c r="G17" i="1"/>
  <c r="J16" i="1"/>
  <c r="G15" i="1"/>
  <c r="G12" i="1"/>
  <c r="K10" i="1"/>
  <c r="J10" i="1"/>
  <c r="I10" i="1"/>
  <c r="H10" i="1"/>
  <c r="G10" i="1"/>
  <c r="E10" i="1"/>
  <c r="D10" i="1"/>
  <c r="C10" i="1"/>
  <c r="K7" i="1"/>
  <c r="K25" i="1" s="1"/>
  <c r="K27" i="1" s="1"/>
  <c r="J7" i="1"/>
  <c r="I7" i="1"/>
  <c r="H7" i="1"/>
  <c r="G7" i="1"/>
  <c r="F7" i="1"/>
  <c r="E7" i="1"/>
  <c r="D7" i="1"/>
  <c r="C7" i="1"/>
  <c r="K2" i="1"/>
  <c r="H2" i="1"/>
  <c r="G2" i="1"/>
  <c r="J29" i="1" l="1"/>
  <c r="I29" i="1"/>
  <c r="H29" i="1"/>
  <c r="K29" i="1"/>
  <c r="G25" i="1"/>
  <c r="G27" i="1" l="1"/>
  <c r="G29" i="1" l="1"/>
  <c r="O29" i="1" s="1"/>
  <c r="I70" i="1" l="1"/>
  <c r="I3" i="10" l="1"/>
  <c r="E18" i="10"/>
  <c r="I18" i="10"/>
  <c r="I13" i="10"/>
  <c r="I8" i="10"/>
  <c r="E13" i="10"/>
  <c r="E8" i="10"/>
  <c r="E3" i="10"/>
  <c r="I23" i="10" l="1"/>
  <c r="I24" i="10" s="1"/>
  <c r="E23" i="10"/>
  <c r="E24" i="10" s="1"/>
  <c r="M12" i="12" l="1"/>
  <c r="M8" i="12"/>
  <c r="M4" i="12"/>
  <c r="M6" i="12" s="1"/>
  <c r="M27" i="3" l="1"/>
  <c r="M22" i="3"/>
  <c r="M19" i="3"/>
  <c r="M11" i="3"/>
  <c r="M35" i="3"/>
  <c r="M10" i="6"/>
  <c r="M10" i="8"/>
  <c r="M12" i="8" s="1"/>
  <c r="M12" i="5" l="1"/>
  <c r="M33" i="5"/>
  <c r="M31" i="5"/>
  <c r="M9" i="5"/>
  <c r="M11" i="7" l="1"/>
  <c r="M8" i="7"/>
  <c r="M12" i="7" l="1"/>
  <c r="M13" i="7" s="1"/>
  <c r="N13" i="9"/>
  <c r="N10" i="9"/>
  <c r="N8" i="9"/>
  <c r="N5" i="9"/>
  <c r="N3" i="9" l="1"/>
  <c r="N18" i="9" s="1"/>
  <c r="L50" i="4"/>
  <c r="L49" i="4"/>
  <c r="L48" i="4"/>
  <c r="L47" i="4"/>
  <c r="L58" i="4" s="1"/>
  <c r="L46" i="4"/>
  <c r="L64" i="4" s="1"/>
  <c r="L45" i="4"/>
  <c r="L56" i="4" s="1"/>
  <c r="L44" i="4"/>
  <c r="L57" i="4" s="1"/>
  <c r="L43" i="4"/>
  <c r="L42" i="4"/>
  <c r="L41" i="4"/>
  <c r="L62" i="4" s="1"/>
  <c r="L40" i="4"/>
  <c r="L61" i="4" s="1"/>
  <c r="L39" i="4"/>
  <c r="L59" i="4" s="1"/>
  <c r="L38" i="4"/>
  <c r="L63" i="4" s="1"/>
  <c r="L37" i="4"/>
  <c r="L60" i="4" s="1"/>
  <c r="L31" i="4"/>
  <c r="L65" i="4" l="1"/>
  <c r="L66" i="4"/>
  <c r="L51" i="4"/>
  <c r="M31" i="4" l="1"/>
  <c r="L16" i="4" l="1"/>
  <c r="L33" i="4" s="1"/>
  <c r="M13" i="11"/>
  <c r="M12" i="15"/>
  <c r="M13" i="14"/>
  <c r="D13" i="14"/>
  <c r="E13" i="14"/>
  <c r="F13" i="14"/>
  <c r="G13" i="14"/>
  <c r="H13" i="14"/>
  <c r="I13" i="14"/>
  <c r="J13" i="14"/>
  <c r="K13" i="14"/>
  <c r="L13" i="14"/>
  <c r="M51" i="4" l="1"/>
  <c r="M16" i="4"/>
  <c r="M33" i="4" s="1"/>
  <c r="M7" i="11"/>
  <c r="M3" i="11"/>
  <c r="M66" i="4" l="1"/>
  <c r="M17" i="11"/>
  <c r="N38" i="13" l="1"/>
  <c r="N27" i="13"/>
  <c r="N32" i="13" s="1"/>
  <c r="N2" i="13"/>
  <c r="N8" i="13"/>
  <c r="N10" i="13"/>
  <c r="N12" i="13"/>
  <c r="N18" i="13"/>
  <c r="N26" i="13" s="1"/>
  <c r="N35" i="13" s="1"/>
  <c r="N21" i="13"/>
  <c r="D10" i="13"/>
  <c r="E10" i="13"/>
  <c r="F10" i="13"/>
  <c r="H10" i="13"/>
  <c r="I10" i="13"/>
  <c r="J10" i="13"/>
  <c r="K10" i="13"/>
  <c r="L10" i="13"/>
  <c r="M10" i="13"/>
  <c r="C10" i="13"/>
  <c r="N7" i="13" l="1"/>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10" i="6" l="1"/>
  <c r="L22" i="3" l="1"/>
  <c r="L4" i="12" l="1"/>
  <c r="L6" i="12" s="1"/>
  <c r="L12" i="12"/>
  <c r="I54" i="4" l="1"/>
  <c r="K54" i="4"/>
  <c r="E54" i="4"/>
  <c r="C35" i="13" l="1"/>
  <c r="M18" i="13"/>
  <c r="M26" i="13" s="1"/>
  <c r="M35" i="13" s="1"/>
  <c r="M12" i="13"/>
  <c r="M8" i="13"/>
  <c r="M7" i="13" l="1"/>
  <c r="M38" i="13"/>
  <c r="M27" i="13"/>
  <c r="M21" i="13"/>
  <c r="M6" i="13"/>
  <c r="M2" i="13"/>
  <c r="M15" i="13" l="1"/>
  <c r="M22" i="13" s="1"/>
  <c r="L3" i="11"/>
  <c r="L7" i="11"/>
  <c r="L1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I65" i="4" s="1"/>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G65" i="4" l="1"/>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3" i="9"/>
  <c r="L11" i="7"/>
  <c r="L8" i="7"/>
  <c r="M3" i="9"/>
  <c r="M18" i="9" s="1"/>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L12" i="7" l="1"/>
  <c r="L13" i="7" s="1"/>
  <c r="C23" i="10"/>
  <c r="C24" i="10" s="1"/>
  <c r="G23" i="10"/>
  <c r="G24" i="10" s="1"/>
  <c r="H10" i="6"/>
  <c r="I10" i="6"/>
  <c r="J10" i="6"/>
  <c r="K10" i="6"/>
  <c r="G10" i="6"/>
  <c r="L13" i="9" l="1"/>
  <c r="H13" i="9"/>
  <c r="F8" i="7" l="1"/>
  <c r="E8" i="7"/>
  <c r="D8" i="7"/>
  <c r="C8" i="7"/>
  <c r="K8" i="7"/>
  <c r="J8" i="7"/>
  <c r="I8" i="7"/>
  <c r="H8" i="7"/>
  <c r="G8" i="7"/>
  <c r="F11" i="7"/>
  <c r="E11" i="7"/>
  <c r="D11" i="7"/>
  <c r="D12" i="7" s="1"/>
  <c r="D13" i="7" s="1"/>
  <c r="C11" i="7"/>
  <c r="F14" i="9"/>
  <c r="F4" i="9"/>
  <c r="C12" i="7" l="1"/>
  <c r="C13" i="7" s="1"/>
  <c r="E12" i="7"/>
  <c r="E13" i="7" s="1"/>
  <c r="F12" i="7"/>
  <c r="F13" i="7" s="1"/>
  <c r="F17" i="9"/>
  <c r="F18" i="9" s="1"/>
  <c r="E4" i="9"/>
  <c r="E17" i="9" s="1"/>
  <c r="E18" i="9" s="1"/>
  <c r="F8" i="9"/>
  <c r="G11" i="7" l="1"/>
  <c r="G12" i="7" s="1"/>
  <c r="G13" i="7" s="1"/>
  <c r="I11" i="7"/>
  <c r="J11" i="7"/>
  <c r="K11" i="7"/>
  <c r="H11" i="7"/>
  <c r="H12" i="7" s="1"/>
  <c r="H13" i="7" s="1"/>
  <c r="J12" i="7" l="1"/>
  <c r="J13" i="7" s="1"/>
  <c r="I12" i="7"/>
  <c r="I13" i="7" s="1"/>
  <c r="K12" i="7"/>
  <c r="K13" i="7" s="1"/>
  <c r="H32" i="13" l="1"/>
  <c r="L38" i="13" l="1"/>
  <c r="K38" i="13"/>
  <c r="J38" i="13"/>
  <c r="I38" i="13"/>
  <c r="H38" i="13"/>
  <c r="F38" i="13"/>
  <c r="E38" i="13"/>
  <c r="D38" i="13"/>
  <c r="C38" i="13"/>
  <c r="D21" i="13"/>
  <c r="E21" i="13"/>
  <c r="F21" i="13"/>
  <c r="H21" i="13"/>
  <c r="I21" i="13"/>
  <c r="J21" i="13"/>
  <c r="K21" i="13"/>
  <c r="L21" i="13"/>
  <c r="C21" i="13"/>
  <c r="D2" i="13" l="1"/>
  <c r="D8" i="13"/>
  <c r="D12" i="13"/>
  <c r="D7" i="13" l="1"/>
  <c r="D6" i="13"/>
  <c r="D15" i="13" s="1"/>
  <c r="D22" i="13" s="1"/>
  <c r="C27" i="13"/>
  <c r="D27" i="13"/>
  <c r="E27" i="13"/>
  <c r="C12" i="13"/>
  <c r="E12" i="13"/>
  <c r="F12" i="13"/>
  <c r="H12" i="13"/>
  <c r="I12" i="13"/>
  <c r="J12" i="13"/>
  <c r="K12" i="13"/>
  <c r="C8" i="13"/>
  <c r="E8" i="13"/>
  <c r="F8" i="13"/>
  <c r="H8" i="13"/>
  <c r="H7" i="13" s="1"/>
  <c r="I8" i="13"/>
  <c r="J8" i="13"/>
  <c r="K8" i="13"/>
  <c r="C2" i="13"/>
  <c r="E2" i="13"/>
  <c r="F7" i="13" l="1"/>
  <c r="F6" i="13" s="1"/>
  <c r="C7" i="13"/>
  <c r="C6" i="13" s="1"/>
  <c r="C15" i="13" s="1"/>
  <c r="C22" i="13" s="1"/>
  <c r="E7" i="13"/>
  <c r="K7" i="13"/>
  <c r="K6" i="13" s="1"/>
  <c r="J7" i="13"/>
  <c r="J6" i="13" s="1"/>
  <c r="I7" i="13"/>
  <c r="I6" i="13" s="1"/>
  <c r="H6" i="13"/>
  <c r="F2" i="13"/>
  <c r="H2" i="13"/>
  <c r="I2" i="13"/>
  <c r="J2" i="13"/>
  <c r="K2" i="13"/>
  <c r="H15" i="13" l="1"/>
  <c r="H22" i="13" s="1"/>
  <c r="K15" i="13"/>
  <c r="K22" i="13" s="1"/>
  <c r="J15" i="13"/>
  <c r="J22" i="13" s="1"/>
  <c r="I15" i="13"/>
  <c r="I22" i="13" s="1"/>
  <c r="F15" i="13"/>
  <c r="F22" i="13" s="1"/>
  <c r="I27" i="13"/>
  <c r="I32" i="13" s="1"/>
  <c r="F27" i="13" l="1"/>
  <c r="F32" i="13" s="1"/>
  <c r="E6" i="13"/>
  <c r="E15" i="13" s="1"/>
  <c r="E22" i="13" s="1"/>
  <c r="J27" i="13"/>
  <c r="J32" i="13" s="1"/>
  <c r="K27" i="13"/>
  <c r="K32" i="13" s="1"/>
  <c r="L27" i="13" l="1"/>
  <c r="L32" i="13" s="1"/>
  <c r="L12" i="13"/>
  <c r="L8" i="13"/>
  <c r="L2" i="13"/>
  <c r="L7" i="13" l="1"/>
  <c r="L6" i="13"/>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4" i="9" l="1"/>
  <c r="C10" i="9"/>
  <c r="C5" i="9"/>
  <c r="C4" i="9" l="1"/>
  <c r="C17" i="9" s="1"/>
  <c r="D14" i="9" l="1"/>
  <c r="D10" i="9"/>
  <c r="D5" i="9"/>
  <c r="D4" i="9" l="1"/>
  <c r="D17" i="9" s="1"/>
  <c r="D18" i="9" s="1"/>
  <c r="E14" i="9" l="1"/>
  <c r="E10" i="9"/>
  <c r="E8" i="9"/>
  <c r="H12" i="9" l="1"/>
  <c r="H8" i="9"/>
  <c r="H10" i="9" l="1"/>
  <c r="H3" i="9" s="1"/>
  <c r="H17" i="9" s="1"/>
  <c r="H18" i="9" s="1"/>
  <c r="I12" i="9"/>
  <c r="I13" i="9"/>
  <c r="I10" i="9"/>
  <c r="I8" i="9"/>
  <c r="I3" i="9" l="1"/>
  <c r="I17" i="9" s="1"/>
  <c r="I18" i="9" s="1"/>
  <c r="J12" i="9"/>
  <c r="J13" i="9" l="1"/>
  <c r="J10" i="9"/>
  <c r="J8" i="9"/>
  <c r="J3" i="9" l="1"/>
  <c r="J17" i="9" l="1"/>
  <c r="J18" i="9" s="1"/>
  <c r="C9" i="5"/>
  <c r="K9" i="5"/>
  <c r="J9" i="5"/>
  <c r="I9" i="5"/>
  <c r="H9" i="5"/>
  <c r="G9" i="5"/>
  <c r="F9" i="5"/>
  <c r="E9" i="5"/>
  <c r="D9" i="5"/>
  <c r="K13" i="11"/>
  <c r="K7" i="11"/>
  <c r="K3" i="11"/>
  <c r="J13" i="11"/>
  <c r="I13" i="11"/>
  <c r="H13" i="11"/>
  <c r="G13" i="11"/>
  <c r="F13" i="11"/>
  <c r="E13" i="11"/>
  <c r="D13" i="11"/>
  <c r="C13" i="11"/>
  <c r="J7" i="11"/>
  <c r="I7" i="11"/>
  <c r="H7" i="11"/>
  <c r="G7" i="11"/>
  <c r="F7" i="11"/>
  <c r="E7" i="11"/>
  <c r="D7" i="11"/>
  <c r="C7" i="11"/>
  <c r="J3" i="11"/>
  <c r="J17" i="11" s="1"/>
  <c r="I3" i="11"/>
  <c r="I17" i="11" s="1"/>
  <c r="H3" i="11"/>
  <c r="G3" i="11"/>
  <c r="G17" i="11" s="1"/>
  <c r="F3" i="11"/>
  <c r="E3" i="11"/>
  <c r="D3" i="11"/>
  <c r="D17" i="11" s="1"/>
  <c r="C3" i="11"/>
  <c r="C17" i="11" s="1"/>
  <c r="K13" i="9"/>
  <c r="K12" i="9"/>
  <c r="K10" i="9"/>
  <c r="K8" i="9"/>
  <c r="K3" i="9"/>
  <c r="L12" i="9"/>
  <c r="L10" i="9"/>
  <c r="L8" i="9"/>
  <c r="K18" i="9" l="1"/>
  <c r="E17" i="11"/>
  <c r="F17" i="11"/>
  <c r="L3" i="9"/>
  <c r="L18" i="9" s="1"/>
  <c r="K17" i="11"/>
  <c r="H17" i="11"/>
  <c r="C13" i="14"/>
  <c r="K11" i="15" l="1"/>
  <c r="G12" i="15"/>
  <c r="K12"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J12" i="8"/>
  <c r="F35" i="3"/>
  <c r="C35" i="3"/>
  <c r="D35" i="3"/>
  <c r="E35" i="3"/>
  <c r="E10" i="8"/>
  <c r="E12" i="8" s="1"/>
  <c r="L12" i="15" l="1"/>
  <c r="P21" i="1" l="1"/>
  <c r="R21" i="1" s="1"/>
  <c r="P5" i="1" l="1"/>
  <c r="R5" i="1" s="1"/>
  <c r="P6" i="1"/>
  <c r="R6" i="1" s="1"/>
  <c r="N10" i="1" l="1"/>
  <c r="P10" i="1" s="1"/>
  <c r="R10" i="1" s="1"/>
  <c r="P8" i="1"/>
  <c r="R8" i="1" s="1"/>
  <c r="P4" i="1" l="1"/>
  <c r="R4" i="1" s="1"/>
  <c r="P13" i="1" l="1"/>
  <c r="R13" i="1" s="1"/>
  <c r="N13" i="7"/>
  <c r="P11" i="1"/>
  <c r="R11" i="1" s="1"/>
  <c r="P19" i="1"/>
  <c r="R19" i="1" s="1"/>
  <c r="P20" i="1"/>
  <c r="R20" i="1" s="1"/>
  <c r="P22" i="1"/>
  <c r="R22" i="1" s="1"/>
  <c r="P23" i="1"/>
  <c r="R23" i="1" s="1"/>
  <c r="P24" i="1"/>
  <c r="R24" i="1" s="1"/>
  <c r="P17" i="1" l="1"/>
  <c r="R17" i="1" s="1"/>
  <c r="J24" i="10"/>
  <c r="P26" i="1"/>
  <c r="R26" i="1" s="1"/>
  <c r="P30" i="1"/>
  <c r="R30" i="1" s="1"/>
  <c r="N18" i="1"/>
  <c r="P18" i="1" s="1"/>
  <c r="R18" i="1" s="1"/>
  <c r="P15" i="1"/>
  <c r="R15" i="1" s="1"/>
  <c r="M32" i="13" l="1"/>
  <c r="E32" i="13"/>
  <c r="D32" i="13"/>
  <c r="C32" i="13"/>
  <c r="P3" i="1" l="1"/>
  <c r="R3" i="1" s="1"/>
  <c r="N2" i="1"/>
  <c r="N7" i="1" l="1"/>
  <c r="P7" i="1" s="1"/>
  <c r="R7" i="1" s="1"/>
  <c r="P2" i="1"/>
  <c r="R2" i="1" s="1"/>
  <c r="P12" i="1" l="1"/>
  <c r="R12" i="1" s="1"/>
  <c r="P29" i="1" l="1"/>
  <c r="R29" i="1" s="1"/>
  <c r="P27" i="1"/>
  <c r="R27" i="1" s="1"/>
  <c r="P25" i="1" l="1"/>
  <c r="R25" i="1" s="1"/>
</calcChain>
</file>

<file path=xl/sharedStrings.xml><?xml version="1.0" encoding="utf-8"?>
<sst xmlns="http://schemas.openxmlformats.org/spreadsheetml/2006/main" count="1135" uniqueCount="683">
  <si>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</si>
  <si>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</si>
  <si>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</si>
  <si>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</si>
  <si>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</si>
  <si>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</si>
  <si>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</si>
  <si>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</si>
  <si>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</si>
  <si>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</si>
  <si>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</si>
  <si>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</si>
  <si>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</si>
  <si>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</si>
  <si>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</si>
  <si>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</si>
  <si>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</si>
  <si>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</si>
  <si>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</si>
  <si>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</si>
  <si>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</si>
  <si>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</si>
  <si>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</si>
  <si>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</si>
  <si>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</si>
  <si>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</si>
  <si>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</si>
  <si>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</si>
  <si>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</si>
  <si>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</si>
  <si>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</si>
  <si>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</si>
  <si>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</si>
  <si>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</si>
  <si>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</si>
  <si>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</si>
  <si>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</si>
  <si>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</si>
  <si>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</si>
  <si>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</si>
  <si>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</si>
  <si>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</si>
  <si>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</si>
  <si>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</si>
  <si>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</si>
  <si>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</si>
  <si>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</si>
  <si>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</si>
  <si>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</si>
  <si>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</si>
  <si>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</si>
  <si>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</si>
  <si>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</si>
  <si>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</si>
  <si>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</si>
  <si>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</si>
  <si>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</si>
  <si>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</si>
  <si>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</si>
  <si>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</si>
  <si>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</si>
  <si>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</si>
  <si>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</si>
  <si>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</si>
  <si>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</si>
  <si>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</si>
  <si>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</si>
  <si>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</si>
  <si>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</si>
  <si>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</si>
  <si>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</si>
  <si>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</si>
  <si>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</si>
  <si>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</si>
  <si>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</si>
  <si>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</si>
  <si>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</si>
  <si>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</si>
  <si>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</si>
  <si>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</si>
  <si>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</si>
  <si>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</si>
  <si>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</si>
  <si>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</si>
  <si>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</si>
  <si>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</si>
  <si>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</si>
  <si>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</si>
  <si>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</si>
  <si>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</si>
  <si>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</si>
  <si>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</si>
  <si>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</si>
  <si>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</si>
  <si>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</si>
  <si>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</si>
  <si>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</si>
  <si>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</si>
  <si>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</si>
  <si>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</si>
  <si>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</si>
  <si>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</si>
  <si>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</si>
  <si>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</si>
  <si>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</si>
  <si>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</si>
  <si>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</si>
  <si>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</si>
  <si>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</si>
  <si>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</si>
  <si>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</si>
  <si>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</si>
  <si>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</si>
  <si>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</si>
  <si>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</si>
  <si>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</si>
  <si>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</si>
  <si>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</si>
  <si>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</si>
  <si>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</si>
  <si>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</si>
  <si>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</si>
  <si>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</si>
  <si>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</si>
  <si>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</si>
  <si>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</si>
  <si>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</si>
  <si>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</si>
  <si>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</si>
  <si>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</si>
  <si>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</si>
  <si>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</si>
  <si>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</si>
  <si>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</si>
  <si>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</si>
  <si>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</si>
  <si>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</si>
  <si>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</si>
  <si>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</si>
  <si>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</si>
  <si>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</si>
  <si>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</si>
  <si>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</si>
  <si>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</si>
  <si>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</si>
  <si>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</si>
  <si>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</si>
  <si>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</si>
  <si>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</si>
  <si>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</si>
  <si>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</si>
  <si>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</si>
  <si>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</si>
  <si>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</si>
  <si>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</si>
  <si>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</si>
  <si>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</si>
  <si>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</si>
  <si>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</si>
  <si>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</si>
  <si>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</si>
  <si>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</si>
  <si>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</si>
  <si>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</si>
  <si>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</si>
  <si>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</si>
  <si>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</si>
  <si>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</si>
  <si>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</si>
  <si>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</si>
  <si>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</si>
  <si>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</si>
  <si>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</si>
  <si>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</si>
  <si>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</si>
  <si>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</si>
  <si>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</si>
  <si>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</si>
  <si>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</si>
  <si>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</si>
  <si>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</si>
  <si>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</si>
  <si>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</si>
  <si>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</si>
  <si>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</si>
  <si>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</si>
  <si>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</si>
  <si>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</si>
  <si>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</si>
  <si>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</si>
  <si>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</si>
  <si>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</si>
  <si>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</si>
  <si>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</si>
  <si>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</si>
  <si>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</si>
  <si>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</si>
  <si>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</si>
  <si>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</si>
  <si>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</si>
  <si>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</si>
  <si>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</si>
  <si>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</si>
  <si>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</si>
  <si>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</si>
  <si>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</si>
  <si>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</si>
  <si>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</si>
  <si>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</si>
  <si>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</si>
  <si>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</si>
  <si>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</si>
  <si>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</si>
  <si>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</si>
  <si>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</si>
  <si>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</si>
  <si>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</si>
  <si>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</si>
  <si>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</si>
  <si>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</si>
  <si>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</si>
  <si>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</si>
  <si>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</si>
  <si>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</si>
  <si>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</si>
  <si>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</si>
  <si>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</si>
  <si>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</si>
  <si>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</si>
  <si>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</si>
  <si>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</si>
  <si>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</si>
  <si>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</si>
  <si>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</si>
  <si>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</si>
  <si>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</si>
  <si>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</si>
  <si>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</si>
  <si>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</si>
  <si>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</si>
  <si>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</si>
  <si>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</si>
  <si>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</si>
  <si>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</si>
  <si>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</si>
  <si>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</si>
  <si>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</si>
  <si>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</si>
  <si>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</si>
  <si>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</si>
  <si>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</si>
  <si>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</si>
  <si>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</si>
  <si>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</si>
  <si>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</si>
  <si>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</si>
  <si>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</si>
  <si>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</si>
  <si>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</si>
  <si>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</si>
  <si>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</si>
  <si>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</si>
  <si>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</si>
  <si>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</si>
  <si>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</si>
  <si>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</si>
  <si>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</si>
  <si>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</si>
  <si>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</si>
  <si>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</si>
  <si>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</si>
  <si>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</si>
  <si>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</si>
  <si>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</si>
  <si>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</si>
  <si>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</si>
  <si>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</si>
  <si>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</si>
  <si>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</si>
  <si>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</si>
  <si>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</si>
  <si>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</si>
  <si>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</si>
  <si>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</si>
  <si>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</si>
  <si>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</si>
  <si>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</si>
  <si>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</si>
  <si>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</si>
  <si>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</si>
  <si>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</si>
  <si>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</si>
  <si>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</si>
  <si>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</si>
  <si>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</si>
  <si>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</si>
  <si>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</si>
  <si>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</si>
  <si>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</si>
  <si>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</si>
  <si>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</si>
  <si>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</si>
  <si>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</si>
  <si>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</si>
  <si>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</si>
  <si>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</si>
  <si>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</si>
  <si>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</si>
  <si>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</si>
  <si>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</si>
  <si>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</si>
  <si>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</si>
  <si>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</si>
  <si>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</si>
  <si>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</si>
  <si>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</si>
  <si>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</si>
  <si>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</si>
  <si>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</si>
  <si>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</si>
  <si>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</si>
  <si>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</si>
  <si>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</si>
  <si>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</si>
  <si>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</si>
  <si>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</si>
  <si>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</si>
  <si>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</si>
  <si>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</si>
  <si>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</si>
  <si>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</si>
  <si>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</si>
  <si>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</si>
  <si>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</si>
  <si>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</si>
  <si>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</si>
  <si>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</si>
  <si>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</si>
  <si>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</si>
  <si>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</si>
  <si>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</si>
  <si>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</si>
  <si>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</si>
  <si>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</si>
  <si>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</si>
  <si>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</si>
  <si>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</si>
  <si>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</si>
  <si>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</si>
  <si>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</si>
  <si>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</si>
  <si>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</si>
  <si>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</si>
  <si>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</si>
  <si>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</si>
  <si>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</si>
  <si>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</si>
  <si>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</si>
  <si>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</si>
  <si>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</si>
  <si>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</si>
  <si>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</si>
  <si>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</si>
  <si>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</si>
  <si>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</si>
  <si>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</si>
  <si>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</si>
  <si>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</si>
  <si>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</si>
  <si>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</si>
  <si>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</si>
  <si>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</si>
  <si>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</si>
  <si>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</si>
  <si>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</si>
  <si>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</si>
  <si>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</si>
  <si>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</si>
  <si>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</si>
  <si>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</si>
  <si>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</si>
  <si>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</si>
  <si>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</si>
  <si>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</si>
  <si>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</si>
  <si>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</si>
  <si>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</si>
  <si>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</si>
  <si>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</si>
  <si>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</si>
  <si>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</si>
  <si>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</si>
  <si>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</si>
  <si>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</si>
  <si>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</si>
  <si>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</si>
  <si>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</si>
  <si>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</si>
  <si>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</si>
  <si>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</si>
  <si>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</si>
  <si>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</si>
  <si>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</si>
  <si>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</si>
  <si>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</si>
  <si>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Pochodne instrumenty finansowe oraz walutowe operacje międzybankowe</t>
  </si>
  <si>
    <t>Other FX related income</t>
  </si>
  <si>
    <t>Pozostałe handlowe dochody z transakcji walutowych</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</si>
  <si>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</si>
  <si>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</si>
  <si>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</si>
  <si>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</si>
  <si>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</si>
  <si>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</si>
  <si>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</si>
  <si>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</si>
  <si>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</si>
  <si>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</si>
  <si>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</si>
  <si>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</si>
  <si>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</si>
  <si>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</si>
  <si>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</si>
  <si>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</si>
  <si>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</si>
  <si>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</si>
  <si>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</si>
  <si>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</si>
  <si>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</si>
  <si>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</si>
  <si>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</si>
  <si>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</si>
  <si>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</si>
  <si>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</si>
  <si>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</si>
  <si>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</si>
  <si>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</si>
  <si>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</si>
  <si>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</si>
  <si>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</si>
  <si>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</si>
  <si>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</si>
  <si>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</si>
  <si>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</si>
  <si>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</si>
  <si>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</si>
  <si>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</si>
  <si>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</si>
  <si>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</si>
  <si>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</si>
  <si>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</si>
  <si>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</si>
  <si>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</si>
  <si>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</si>
  <si>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</si>
  <si>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</si>
  <si>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</si>
  <si>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</si>
  <si>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</si>
  <si>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</si>
  <si>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</si>
  <si>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</si>
  <si>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</si>
  <si>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</si>
  <si>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</si>
  <si>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</si>
  <si>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</si>
  <si>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</si>
  <si>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</si>
  <si>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</si>
  <si>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</si>
  <si>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</si>
  <si>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</si>
  <si>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</si>
  <si>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</si>
  <si>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</si>
  <si>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</si>
  <si>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</si>
  <si>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</si>
  <si>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</si>
  <si>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</si>
  <si>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</si>
  <si>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</si>
  <si>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</si>
  <si>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</si>
  <si>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</si>
  <si>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</si>
  <si>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</si>
  <si>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</si>
  <si>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</si>
  <si>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</si>
  <si>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</si>
  <si>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</si>
  <si>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</si>
  <si>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</si>
  <si>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</si>
  <si>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</si>
  <si>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</si>
  <si>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</si>
  <si>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</si>
  <si>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</si>
  <si>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</si>
  <si>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</si>
  <si>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</si>
  <si>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</si>
  <si>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</si>
  <si>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</si>
  <si>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</si>
  <si>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</si>
  <si>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</si>
  <si>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</si>
  <si>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</si>
  <si>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</si>
  <si>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</si>
  <si>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</si>
  <si>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</si>
  <si>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</si>
  <si>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</si>
  <si>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</si>
  <si>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</si>
  <si>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</si>
  <si>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</si>
  <si>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</si>
  <si>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</si>
  <si>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</si>
  <si>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</si>
  <si>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</si>
  <si>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</si>
  <si>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</si>
  <si>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</si>
  <si>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</si>
  <si>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</si>
  <si>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</si>
  <si>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</si>
  <si>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</si>
  <si>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</si>
  <si>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</si>
  <si>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</si>
  <si>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</si>
  <si>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</si>
  <si>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</si>
  <si>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</si>
  <si>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</si>
  <si>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</si>
  <si>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</si>
  <si>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</si>
  <si>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</si>
  <si>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</si>
  <si>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</si>
  <si>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</si>
  <si>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</si>
  <si>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</si>
  <si>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</si>
  <si>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</si>
  <si>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</si>
  <si>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</si>
  <si>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</si>
  <si>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</si>
  <si>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</si>
  <si>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</si>
  <si>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</si>
  <si>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</si>
  <si>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</si>
  <si>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</si>
  <si>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</si>
  <si>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</si>
  <si>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</si>
  <si>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</si>
  <si>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</si>
  <si>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</si>
  <si>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</si>
  <si>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</si>
  <si>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</si>
  <si>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</si>
  <si>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</si>
  <si>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</si>
  <si>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</si>
  <si>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</si>
  <si>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</si>
  <si>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</si>
  <si>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</si>
  <si>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</si>
  <si>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</si>
  <si>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</si>
  <si>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</si>
  <si>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</si>
  <si>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</si>
  <si>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</si>
  <si>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Zarejestrowani klienci bankowości internetowej i mobilnej Santander Bank Polska S.A. </t>
  </si>
  <si>
    <t xml:space="preserve">Registered customers of internet and mobile banking services of Santander Bank Polska S.A. </t>
  </si>
  <si>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</si>
  <si>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</si>
  <si>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r>
      <t xml:space="preserve">Aktywa netto funduszy inwestycyjnych </t>
    </r>
    <r>
      <rPr>
        <vertAlign val="superscript"/>
        <sz val="7"/>
        <color theme="1"/>
        <rFont val="Open Sans"/>
        <family val="2"/>
        <charset val="238"/>
      </rPr>
      <t>3)</t>
    </r>
  </si>
  <si>
    <r>
      <t xml:space="preserve">Net assets in mutual funds </t>
    </r>
    <r>
      <rPr>
        <vertAlign val="superscript"/>
        <sz val="7"/>
        <color theme="1"/>
        <rFont val="Open Sans"/>
        <family val="2"/>
        <charset val="238"/>
      </rPr>
      <t>3)</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</si>
  <si>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</si>
  <si>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</si>
  <si>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</si>
  <si>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</si>
  <si>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</si>
  <si>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</si>
  <si>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</si>
  <si>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</si>
  <si>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</si>
  <si>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</si>
  <si>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</si>
  <si>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</si>
  <si>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</si>
  <si>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</si>
  <si>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</si>
  <si>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</si>
  <si>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</si>
  <si>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</si>
  <si>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</si>
  <si>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</si>
  <si>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</si>
  <si>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</si>
  <si>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</si>
  <si>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</si>
  <si>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</si>
  <si>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</si>
  <si>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</si>
  <si>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</si>
  <si>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</si>
  <si>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</si>
  <si>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</si>
  <si>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</si>
  <si>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</si>
  <si>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</si>
  <si>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</si>
  <si>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</si>
  <si>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</si>
  <si>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</si>
  <si>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</si>
  <si>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</si>
  <si>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</si>
  <si>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</si>
  <si>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</si>
  <si>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</si>
  <si>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</si>
  <si>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</si>
  <si>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</si>
  <si>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</si>
  <si>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poprzednia wersja</t>
  </si>
  <si>
    <t>różnica</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</si>
  <si>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</si>
  <si>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</si>
  <si>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</si>
  <si>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</si>
  <si>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</si>
  <si>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</si>
  <si>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</si>
  <si>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</si>
  <si>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</si>
  <si>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</si>
  <si>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</si>
  <si>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</si>
  <si>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</si>
  <si>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</si>
  <si>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</si>
  <si>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</si>
  <si>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</si>
  <si>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</si>
  <si>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</si>
  <si>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</si>
  <si>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</si>
  <si>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</si>
  <si>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</si>
  <si>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</si>
  <si>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</si>
  <si>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</si>
  <si>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Change in fair value of debt securities mandatorily measured at fair value through profit or loss</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</si>
  <si>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</si>
  <si>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</si>
  <si>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</si>
  <si>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</si>
  <si>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</si>
  <si>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</si>
  <si>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</si>
  <si>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</si>
  <si>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Należności brutto od klientów zakwalifikowane do koszyka 3 i ekspozycji POCI przez wyceniany w zamortyzowanym koszcie portfel należności brutto od klientów na koniec okresu sprawozdawczego ( kalkulacja obowiązująca   od I kw. 2018 r.).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</si>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</sst>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8" formatCode="0.0%"/>
    <numFmt numFmtId="169" formatCode="_-* #,##0_-;\-* #,##0_-;_-* &quot;-&quot;??_-;_-@_-"/>
  </numFmts>
  <fonts count="81">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sz val="11"/>
      <color rgb="FFFF0000"/>
      <name val="Calibri"/>
      <family val="2"/>
      <charset val="238"/>
      <scheme val="minor"/>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sz val="8"/>
      <color theme="0"/>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rgb="FF00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style="thin">
        <color indexed="9"/>
      </right>
      <top style="dotted">
        <color rgb="FF6F7779"/>
      </top>
      <bottom style="thin">
        <color rgb="FFCC0000"/>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1" fillId="0" borderId="0"/>
    <xf numFmtId="0" fontId="2" fillId="0" borderId="0"/>
    <xf numFmtId="0" fontId="2" fillId="0" borderId="0"/>
    <xf numFmtId="9" fontId="51" fillId="0" borderId="0" applyFont="0" applyFill="0" applyBorder="0" applyAlignment="0" applyProtection="0"/>
    <xf numFmtId="44" fontId="51" fillId="0" borderId="0" applyFont="0" applyFill="0" applyBorder="0" applyAlignment="0" applyProtection="0"/>
    <xf numFmtId="43" fontId="13" fillId="0" borderId="0" applyFont="0" applyFill="0" applyBorder="0" applyAlignment="0" applyProtection="0"/>
  </cellStyleXfs>
  <cellXfs count="431">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6" fillId="0" borderId="0" xfId="0" applyFont="1"/>
    <xf numFmtId="0" fontId="44" fillId="0" borderId="0" xfId="0" applyFont="1" applyAlignment="1">
      <alignment wrapText="1"/>
    </xf>
    <xf numFmtId="0" fontId="44" fillId="0" borderId="0" xfId="0" applyFont="1"/>
    <xf numFmtId="0" fontId="18" fillId="0" borderId="0" xfId="16890" applyFont="1" applyFill="1" applyBorder="1" applyAlignment="1">
      <alignment horizontal="left" wrapText="1"/>
    </xf>
    <xf numFmtId="0" fontId="47" fillId="0" borderId="0" xfId="0" applyFont="1"/>
    <xf numFmtId="14" fontId="48"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7" fillId="0" borderId="4" xfId="0" applyFont="1" applyBorder="1"/>
    <xf numFmtId="165" fontId="16" fillId="0" borderId="5" xfId="16890" applyNumberFormat="1" applyFont="1" applyFill="1" applyBorder="1" applyAlignment="1">
      <alignment horizontal="right" indent="1"/>
    </xf>
    <xf numFmtId="0" fontId="49"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9" fillId="0" borderId="0" xfId="0" applyFont="1"/>
    <xf numFmtId="0" fontId="47" fillId="0" borderId="4" xfId="0" applyFont="1" applyBorder="1" applyAlignment="1">
      <alignment wrapText="1"/>
    </xf>
    <xf numFmtId="0" fontId="49"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50" fillId="0" borderId="0" xfId="21870"/>
    <xf numFmtId="0" fontId="45" fillId="10" borderId="30" xfId="21871" applyFont="1" applyFill="1" applyBorder="1" applyAlignment="1">
      <alignment vertical="center" wrapText="1"/>
    </xf>
    <xf numFmtId="0" fontId="45" fillId="9" borderId="30" xfId="21871" applyFont="1" applyFill="1" applyBorder="1" applyAlignment="1">
      <alignment vertical="center" wrapText="1"/>
    </xf>
    <xf numFmtId="0" fontId="54" fillId="0" borderId="0" xfId="21871" applyFont="1"/>
    <xf numFmtId="0" fontId="55" fillId="10" borderId="19" xfId="21871" applyFont="1" applyFill="1" applyBorder="1" applyAlignment="1">
      <alignment vertical="center" wrapText="1"/>
    </xf>
    <xf numFmtId="0" fontId="55" fillId="10" borderId="19" xfId="21871" applyFont="1" applyFill="1" applyBorder="1" applyAlignment="1">
      <alignment horizontal="right" vertical="center" wrapText="1"/>
    </xf>
    <xf numFmtId="0" fontId="56" fillId="10" borderId="0" xfId="21871" applyFont="1" applyFill="1" applyBorder="1" applyAlignment="1">
      <alignment horizontal="left" vertical="center" wrapText="1"/>
    </xf>
    <xf numFmtId="0" fontId="56" fillId="10" borderId="0" xfId="21871" applyFont="1" applyFill="1" applyBorder="1" applyAlignment="1">
      <alignment horizontal="right" vertical="center" wrapText="1"/>
    </xf>
    <xf numFmtId="0" fontId="56" fillId="10" borderId="30" xfId="21871" applyFont="1" applyFill="1" applyBorder="1" applyAlignment="1">
      <alignment horizontal="left" vertical="center" wrapText="1"/>
    </xf>
    <xf numFmtId="0" fontId="56" fillId="10" borderId="30" xfId="21871" applyFont="1" applyFill="1" applyBorder="1" applyAlignment="1">
      <alignment horizontal="right" vertical="center" wrapText="1"/>
    </xf>
    <xf numFmtId="168" fontId="59" fillId="9" borderId="0" xfId="21871" applyNumberFormat="1" applyFont="1" applyFill="1" applyBorder="1" applyAlignment="1">
      <alignment horizontal="right" vertical="center" wrapText="1"/>
    </xf>
    <xf numFmtId="0" fontId="54" fillId="9" borderId="0" xfId="21871" applyFont="1" applyFill="1"/>
    <xf numFmtId="0" fontId="56" fillId="9" borderId="0" xfId="21871" applyFont="1" applyFill="1" applyBorder="1" applyAlignment="1">
      <alignment horizontal="left" vertical="center" wrapText="1"/>
    </xf>
    <xf numFmtId="0" fontId="56" fillId="10" borderId="30" xfId="21871" applyFont="1" applyFill="1" applyBorder="1" applyAlignment="1">
      <alignment horizontal="left" wrapText="1"/>
    </xf>
    <xf numFmtId="3" fontId="57" fillId="0" borderId="0" xfId="21871" applyNumberFormat="1" applyFont="1" applyFill="1" applyBorder="1" applyAlignment="1">
      <alignment horizontal="right" vertical="center" wrapText="1"/>
    </xf>
    <xf numFmtId="3" fontId="56" fillId="0" borderId="0" xfId="21871" applyNumberFormat="1" applyFont="1"/>
    <xf numFmtId="0" fontId="53" fillId="0" borderId="0" xfId="0" applyFont="1" applyAlignment="1">
      <alignment horizontal="right" vertical="top" wrapText="1" indent="1"/>
    </xf>
    <xf numFmtId="3" fontId="57" fillId="0" borderId="30" xfId="21871" applyNumberFormat="1" applyFont="1" applyFill="1" applyBorder="1" applyAlignment="1">
      <alignment horizontal="right" vertical="center" wrapText="1"/>
    </xf>
    <xf numFmtId="14" fontId="48" fillId="0" borderId="22" xfId="0" applyNumberFormat="1" applyFont="1" applyBorder="1" applyAlignment="1">
      <alignment horizontal="right"/>
    </xf>
    <xf numFmtId="0" fontId="47" fillId="0" borderId="22" xfId="0" applyFont="1" applyBorder="1"/>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7"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7" fillId="0" borderId="0" xfId="0" applyFont="1" applyFill="1"/>
    <xf numFmtId="0" fontId="47"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165" fontId="47" fillId="0" borderId="0" xfId="0" applyNumberFormat="1" applyFont="1"/>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60" fillId="0" borderId="0" xfId="0" applyFont="1"/>
    <xf numFmtId="165" fontId="60"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65" fontId="0" fillId="0" borderId="0" xfId="0" applyNumberFormat="1" applyAlignment="1">
      <alignment wrapTex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3" fillId="0" borderId="0" xfId="0" applyFont="1" applyAlignment="1">
      <alignment horizontal="left" vertical="center" wrapText="1"/>
    </xf>
    <xf numFmtId="0" fontId="56" fillId="10" borderId="32" xfId="21871" applyFont="1" applyFill="1" applyBorder="1" applyAlignment="1">
      <alignment horizontal="left" vertical="center" wrapText="1"/>
    </xf>
    <xf numFmtId="0" fontId="56" fillId="10" borderId="32" xfId="21871" applyFont="1" applyFill="1" applyBorder="1" applyAlignment="1">
      <alignment horizontal="right" vertical="center" wrapText="1"/>
    </xf>
    <xf numFmtId="0" fontId="56" fillId="10" borderId="33" xfId="21871" applyFont="1" applyFill="1" applyBorder="1" applyAlignment="1">
      <alignment horizontal="left" vertical="center" wrapText="1"/>
    </xf>
    <xf numFmtId="0" fontId="56" fillId="10" borderId="33" xfId="21871" applyFont="1" applyFill="1" applyBorder="1" applyAlignment="1">
      <alignment horizontal="right" vertical="center" wrapText="1"/>
    </xf>
    <xf numFmtId="0" fontId="56" fillId="10" borderId="34" xfId="21871" applyFont="1" applyFill="1" applyBorder="1" applyAlignment="1">
      <alignment horizontal="left" vertical="center" wrapText="1"/>
    </xf>
    <xf numFmtId="44" fontId="56" fillId="10" borderId="34" xfId="21875" applyFont="1" applyFill="1" applyBorder="1" applyAlignment="1">
      <alignment horizontal="left" vertical="center" wrapText="1"/>
    </xf>
    <xf numFmtId="0" fontId="56" fillId="10" borderId="34" xfId="21871" applyFont="1" applyFill="1" applyBorder="1" applyAlignment="1">
      <alignment horizontal="right" vertical="center" wrapText="1"/>
    </xf>
    <xf numFmtId="44" fontId="56" fillId="10" borderId="34" xfId="21875" applyFont="1" applyFill="1" applyBorder="1" applyAlignment="1">
      <alignment horizontal="right" vertical="center" wrapText="1"/>
    </xf>
    <xf numFmtId="3" fontId="57" fillId="0" borderId="32" xfId="21871" applyNumberFormat="1" applyFont="1" applyFill="1" applyBorder="1" applyAlignment="1">
      <alignment horizontal="right" vertical="center" wrapText="1"/>
    </xf>
    <xf numFmtId="3" fontId="57" fillId="0" borderId="33" xfId="21871" applyNumberFormat="1" applyFont="1" applyFill="1" applyBorder="1" applyAlignment="1">
      <alignment horizontal="right" vertical="center" wrapText="1"/>
    </xf>
    <xf numFmtId="3" fontId="57" fillId="0" borderId="34" xfId="21871" applyNumberFormat="1" applyFont="1" applyFill="1" applyBorder="1" applyAlignment="1">
      <alignment horizontal="right" vertical="center" wrapText="1"/>
    </xf>
    <xf numFmtId="0" fontId="55" fillId="0" borderId="19" xfId="21871" applyFont="1" applyFill="1" applyBorder="1" applyAlignment="1">
      <alignment horizontal="right" vertical="center" wrapText="1"/>
    </xf>
    <xf numFmtId="0" fontId="54" fillId="0" borderId="0" xfId="21871" applyFont="1" applyFill="1"/>
    <xf numFmtId="3" fontId="59"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8"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8" fillId="10" borderId="0" xfId="21871" applyFont="1" applyFill="1" applyBorder="1" applyAlignment="1">
      <alignment horizontal="left" vertical="center" wrapText="1"/>
    </xf>
    <xf numFmtId="0" fontId="54" fillId="0" borderId="0" xfId="21871" applyFont="1" applyAlignment="1">
      <alignment horizontal="right"/>
    </xf>
    <xf numFmtId="0" fontId="53" fillId="0" borderId="0" xfId="0" applyFont="1" applyAlignment="1">
      <alignment horizontal="right" vertical="center" indent="1"/>
    </xf>
    <xf numFmtId="0" fontId="53" fillId="0" borderId="0" xfId="0" applyFont="1" applyAlignment="1">
      <alignment horizontal="left" vertical="center"/>
    </xf>
    <xf numFmtId="0" fontId="53" fillId="0" borderId="0" xfId="0" applyFont="1" applyAlignment="1">
      <alignment horizontal="left" vertical="center" wrapText="1" shrinkToFit="1"/>
    </xf>
    <xf numFmtId="0" fontId="53" fillId="0" borderId="0" xfId="0" applyFont="1" applyAlignment="1">
      <alignment horizontal="justify" vertical="top" wrapText="1"/>
    </xf>
    <xf numFmtId="0" fontId="62" fillId="0" borderId="0" xfId="0" applyFont="1" applyAlignment="1">
      <alignment wrapText="1"/>
    </xf>
    <xf numFmtId="0" fontId="62" fillId="0" borderId="0" xfId="0" applyFont="1"/>
    <xf numFmtId="0" fontId="60" fillId="0" borderId="0" xfId="0" applyFont="1" applyAlignment="1">
      <alignment wrapText="1"/>
    </xf>
    <xf numFmtId="0" fontId="63" fillId="0" borderId="0" xfId="0" applyFont="1" applyAlignment="1">
      <alignment wrapText="1"/>
    </xf>
    <xf numFmtId="0" fontId="63" fillId="0" borderId="0" xfId="0" applyFont="1" applyAlignment="1">
      <alignment vertical="top" wrapText="1"/>
    </xf>
    <xf numFmtId="165" fontId="63" fillId="0" borderId="0" xfId="0" applyNumberFormat="1" applyFont="1" applyAlignment="1">
      <alignment wrapText="1"/>
    </xf>
    <xf numFmtId="165" fontId="60" fillId="0" borderId="0" xfId="0" applyNumberFormat="1" applyFont="1" applyAlignment="1">
      <alignment wrapText="1"/>
    </xf>
    <xf numFmtId="0" fontId="26" fillId="0" borderId="1" xfId="0" applyFont="1" applyBorder="1" applyAlignment="1">
      <alignment horizontal="left"/>
    </xf>
    <xf numFmtId="0" fontId="53" fillId="0" borderId="0" xfId="0" applyFont="1" applyAlignment="1">
      <alignment horizontal="left" vertical="center" wrapText="1" indent="1" shrinkToFit="1"/>
    </xf>
    <xf numFmtId="0" fontId="53" fillId="0" borderId="0" xfId="0" applyFont="1" applyAlignment="1">
      <alignment horizontal="left" vertical="top" wrapText="1" indent="1"/>
    </xf>
    <xf numFmtId="14" fontId="64" fillId="0" borderId="17" xfId="0" applyNumberFormat="1" applyFont="1" applyBorder="1" applyAlignment="1">
      <alignment horizontal="right" vertical="center"/>
    </xf>
    <xf numFmtId="165" fontId="65" fillId="0" borderId="13" xfId="0" applyNumberFormat="1" applyFont="1" applyBorder="1" applyAlignment="1">
      <alignment horizontal="right" vertical="center" indent="1"/>
    </xf>
    <xf numFmtId="165" fontId="66" fillId="0" borderId="13" xfId="0" applyNumberFormat="1" applyFont="1" applyBorder="1" applyAlignment="1">
      <alignment horizontal="right" vertical="center" indent="1"/>
    </xf>
    <xf numFmtId="165" fontId="67" fillId="0" borderId="18" xfId="0" applyNumberFormat="1" applyFont="1" applyBorder="1" applyAlignment="1">
      <alignment horizontal="right" vertical="center"/>
    </xf>
    <xf numFmtId="14" fontId="64" fillId="0" borderId="19" xfId="0" applyNumberFormat="1" applyFont="1" applyBorder="1" applyAlignment="1">
      <alignment horizontal="right" vertical="center" wrapText="1"/>
    </xf>
    <xf numFmtId="165" fontId="66" fillId="0" borderId="0" xfId="0" applyNumberFormat="1" applyFont="1" applyAlignment="1">
      <alignment horizontal="right" vertical="center" wrapText="1"/>
    </xf>
    <xf numFmtId="0" fontId="66"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6"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8" fillId="0" borderId="12" xfId="0" applyFont="1" applyBorder="1" applyAlignment="1">
      <alignment horizontal="left"/>
    </xf>
    <xf numFmtId="0" fontId="46" fillId="0" borderId="0" xfId="0" applyNumberFormat="1" applyFont="1" applyFill="1"/>
    <xf numFmtId="165" fontId="29" fillId="0" borderId="0" xfId="0" applyNumberFormat="1" applyFont="1" applyFill="1"/>
    <xf numFmtId="165" fontId="29" fillId="0" borderId="0" xfId="0" applyNumberFormat="1" applyFont="1"/>
    <xf numFmtId="165" fontId="62" fillId="0" borderId="0" xfId="0" applyNumberFormat="1" applyFont="1"/>
    <xf numFmtId="3" fontId="69" fillId="0" borderId="0" xfId="0" applyNumberFormat="1" applyFont="1"/>
    <xf numFmtId="3" fontId="47" fillId="0" borderId="0" xfId="0" applyNumberFormat="1" applyFont="1"/>
    <xf numFmtId="165" fontId="0" fillId="0" borderId="0" xfId="0" applyNumberFormat="1"/>
    <xf numFmtId="3" fontId="47"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8" fillId="0" borderId="22" xfId="0" applyNumberFormat="1" applyFont="1" applyFill="1" applyBorder="1" applyAlignment="1">
      <alignment horizontal="right"/>
    </xf>
    <xf numFmtId="0" fontId="70" fillId="0" borderId="0" xfId="0" applyFont="1" applyFill="1"/>
    <xf numFmtId="0" fontId="70" fillId="0" borderId="0" xfId="0" applyFont="1"/>
    <xf numFmtId="3" fontId="57"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0" fontId="71" fillId="0" borderId="0" xfId="0" applyFont="1"/>
    <xf numFmtId="165" fontId="70" fillId="0" borderId="0" xfId="0" applyNumberFormat="1" applyFont="1"/>
    <xf numFmtId="0" fontId="72" fillId="0" borderId="0" xfId="0" applyFont="1"/>
    <xf numFmtId="166" fontId="69" fillId="0" borderId="0" xfId="0" applyNumberFormat="1" applyFont="1"/>
    <xf numFmtId="168" fontId="0" fillId="0" borderId="0" xfId="0" applyNumberFormat="1"/>
    <xf numFmtId="3" fontId="0" fillId="0" borderId="0" xfId="0" applyNumberFormat="1"/>
    <xf numFmtId="0" fontId="69" fillId="0" borderId="0" xfId="0" applyFont="1"/>
    <xf numFmtId="0" fontId="32" fillId="0" borderId="0" xfId="0" applyFont="1" applyFill="1"/>
    <xf numFmtId="165" fontId="32" fillId="0" borderId="0" xfId="0" applyNumberFormat="1" applyFont="1" applyFill="1"/>
    <xf numFmtId="165" fontId="26" fillId="0" borderId="0" xfId="16890" applyNumberFormat="1" applyFont="1" applyFill="1" applyBorder="1" applyAlignment="1">
      <alignment horizontal="right" indent="1"/>
    </xf>
    <xf numFmtId="0" fontId="26" fillId="0" borderId="0" xfId="0" applyFont="1"/>
    <xf numFmtId="165" fontId="71" fillId="0" borderId="0" xfId="0" applyNumberFormat="1" applyFont="1"/>
    <xf numFmtId="0" fontId="32" fillId="0" borderId="0" xfId="0" applyFont="1" applyBorder="1"/>
    <xf numFmtId="165" fontId="32" fillId="0" borderId="0" xfId="16890" applyNumberFormat="1" applyFont="1" applyFill="1" applyBorder="1" applyAlignment="1">
      <alignment horizontal="right" indent="1"/>
    </xf>
    <xf numFmtId="165" fontId="32" fillId="0" borderId="0" xfId="0" applyNumberFormat="1" applyFont="1" applyBorder="1"/>
    <xf numFmtId="165" fontId="26" fillId="0" borderId="0" xfId="0" applyNumberFormat="1" applyFont="1"/>
    <xf numFmtId="14" fontId="73" fillId="0" borderId="19" xfId="0" applyNumberFormat="1" applyFont="1" applyBorder="1" applyAlignment="1">
      <alignment horizontal="right" vertical="center" wrapText="1"/>
    </xf>
    <xf numFmtId="165" fontId="74" fillId="0" borderId="0" xfId="0" applyNumberFormat="1" applyFont="1" applyAlignment="1">
      <alignment horizontal="right" vertical="center" wrapText="1"/>
    </xf>
    <xf numFmtId="0" fontId="74" fillId="0" borderId="13" xfId="0" applyFont="1" applyBorder="1" applyAlignment="1">
      <alignment horizontal="left" vertical="center" wrapText="1"/>
    </xf>
    <xf numFmtId="165" fontId="75" fillId="0" borderId="13" xfId="0" applyNumberFormat="1" applyFont="1" applyBorder="1" applyAlignment="1">
      <alignment horizontal="right" vertical="center" indent="1"/>
    </xf>
    <xf numFmtId="165" fontId="74"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7" fillId="0" borderId="0" xfId="0" applyNumberFormat="1" applyFont="1" applyFill="1"/>
    <xf numFmtId="165" fontId="0" fillId="0" borderId="0" xfId="0" applyNumberFormat="1" applyFill="1"/>
    <xf numFmtId="169" fontId="62" fillId="0" borderId="0" xfId="0" applyNumberFormat="1" applyFont="1" applyFill="1"/>
    <xf numFmtId="169" fontId="70" fillId="0" borderId="0" xfId="0" applyNumberFormat="1" applyFont="1" applyFill="1"/>
    <xf numFmtId="0" fontId="62" fillId="0" borderId="0" xfId="0" applyFont="1" applyFill="1" applyAlignment="1">
      <alignment wrapText="1"/>
    </xf>
    <xf numFmtId="0" fontId="62" fillId="0" borderId="0" xfId="0" applyFont="1" applyFill="1"/>
    <xf numFmtId="165" fontId="62" fillId="0" borderId="0" xfId="0" applyNumberFormat="1" applyFont="1" applyFill="1"/>
    <xf numFmtId="0" fontId="29" fillId="0" borderId="0" xfId="0" applyFont="1" applyFill="1" applyAlignment="1">
      <alignment wrapText="1"/>
    </xf>
    <xf numFmtId="0" fontId="76"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7" fillId="0" borderId="0" xfId="0" applyNumberFormat="1" applyFont="1" applyFill="1"/>
    <xf numFmtId="0" fontId="69" fillId="0" borderId="0" xfId="0" applyFont="1" applyFill="1" applyAlignment="1">
      <alignment horizontal="right"/>
    </xf>
    <xf numFmtId="165" fontId="69" fillId="0" borderId="0" xfId="0" applyNumberFormat="1" applyFont="1" applyFill="1"/>
    <xf numFmtId="164" fontId="60" fillId="0" borderId="0" xfId="0" applyNumberFormat="1" applyFont="1"/>
    <xf numFmtId="0" fontId="33" fillId="0" borderId="0" xfId="0" applyFont="1" applyFill="1"/>
    <xf numFmtId="3" fontId="33" fillId="0" borderId="0" xfId="0" applyNumberFormat="1" applyFont="1" applyFill="1"/>
    <xf numFmtId="4" fontId="69" fillId="0" borderId="0" xfId="0" applyNumberFormat="1" applyFont="1" applyFill="1" applyAlignment="1">
      <alignment horizontal="right"/>
    </xf>
    <xf numFmtId="4" fontId="69" fillId="0" borderId="0" xfId="0" applyNumberFormat="1" applyFont="1" applyFill="1"/>
    <xf numFmtId="0" fontId="26" fillId="0" borderId="0" xfId="0" applyFont="1" applyFill="1"/>
    <xf numFmtId="0" fontId="26" fillId="0" borderId="0" xfId="0" applyFont="1" applyBorder="1"/>
    <xf numFmtId="0" fontId="60" fillId="0" borderId="0" xfId="0" applyFont="1" applyBorder="1"/>
    <xf numFmtId="165" fontId="18" fillId="0" borderId="13" xfId="0" applyNumberFormat="1" applyFont="1" applyFill="1" applyBorder="1" applyAlignment="1">
      <alignment horizontal="right" vertical="center" indent="1"/>
    </xf>
    <xf numFmtId="165" fontId="66" fillId="0" borderId="13" xfId="0" applyNumberFormat="1" applyFont="1" applyFill="1" applyBorder="1" applyAlignment="1">
      <alignment horizontal="right" vertical="center" indent="1"/>
    </xf>
    <xf numFmtId="165" fontId="60"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165" fontId="24" fillId="0" borderId="0" xfId="0" applyNumberFormat="1" applyFont="1"/>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8"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7" fillId="0" borderId="4" xfId="0" applyFont="1" applyBorder="1" applyAlignment="1">
      <alignment horizontal="left" vertical="center"/>
    </xf>
    <xf numFmtId="0" fontId="47"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165" fontId="24" fillId="0" borderId="0" xfId="0" applyNumberFormat="1" applyFont="1" applyFill="1"/>
    <xf numFmtId="0" fontId="23" fillId="0" borderId="17" xfId="16875" applyFont="1" applyFill="1" applyBorder="1" applyAlignment="1">
      <alignment horizontal="left" wrapText="1"/>
    </xf>
    <xf numFmtId="4" fontId="79" fillId="0" borderId="17" xfId="16890" applyNumberFormat="1" applyFont="1" applyFill="1" applyBorder="1" applyAlignment="1">
      <alignment horizontal="right" vertical="center" wrapText="1"/>
    </xf>
    <xf numFmtId="165" fontId="80" fillId="0" borderId="0" xfId="0" applyNumberFormat="1" applyFont="1" applyAlignment="1"/>
    <xf numFmtId="0" fontId="80" fillId="0" borderId="0" xfId="0" applyFont="1" applyAlignment="1">
      <alignment vertical="center"/>
    </xf>
    <xf numFmtId="0" fontId="80" fillId="0" borderId="0" xfId="0" applyFont="1" applyAlignment="1">
      <alignment horizontal="right" vertical="center"/>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24" fillId="0" borderId="0" xfId="0" applyFont="1" applyBorder="1"/>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3" fontId="24" fillId="0" borderId="0" xfId="0" applyNumberFormat="1" applyFont="1"/>
    <xf numFmtId="0" fontId="53" fillId="0" borderId="0" xfId="0" applyFont="1" applyAlignment="1">
      <alignment horizontal="justify" vertical="center"/>
    </xf>
    <xf numFmtId="165" fontId="26" fillId="0" borderId="43" xfId="16890" applyNumberFormat="1" applyFont="1" applyFill="1" applyBorder="1" applyAlignment="1">
      <alignment horizontal="center" vertical="center"/>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styles" Target="styles.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tabSelected="1" topLeftCell="B1" workbookViewId="0">
      <selection activeCell="P27" sqref="P27"/>
    </sheetView>
  </sheetViews>
  <sheetFormatPr defaultColWidth="9.140625" defaultRowHeight="14.25"/>
  <cols>
    <col min="1" max="2" width="50.7109375" style="6" customWidth="1"/>
    <col min="3" max="11" width="13.42578125" style="6" customWidth="1"/>
    <col min="12" max="14" width="13.42578125" style="29" customWidth="1"/>
    <col min="15" max="15" width="22.5703125" style="310" customWidth="1"/>
    <col min="16" max="16" width="13.140625" style="310" customWidth="1"/>
    <col min="17" max="17" width="11.140625" style="29"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598</v>
      </c>
      <c r="M1" s="5" t="s">
        <v>632</v>
      </c>
      <c r="N1" s="5" t="s">
        <v>639</v>
      </c>
      <c r="O1" s="352"/>
      <c r="P1" s="352"/>
      <c r="Q1" s="307"/>
    </row>
    <row r="2" spans="1:18" ht="15" customHeight="1">
      <c r="A2" s="7" t="s">
        <v>149</v>
      </c>
      <c r="B2" s="371" t="s">
        <v>150</v>
      </c>
      <c r="C2" s="366">
        <v>1559802</v>
      </c>
      <c r="D2" s="366">
        <v>1620968</v>
      </c>
      <c r="E2" s="366">
        <v>1663808</v>
      </c>
      <c r="F2" s="366">
        <v>1684729</v>
      </c>
      <c r="G2" s="366">
        <f>G3+G4+G5</f>
        <v>1688501</v>
      </c>
      <c r="H2" s="366">
        <f>H3+H4+H5</f>
        <v>1736743</v>
      </c>
      <c r="I2" s="366">
        <v>1805709</v>
      </c>
      <c r="J2" s="366">
        <v>1982843</v>
      </c>
      <c r="K2" s="366">
        <f>K3+K4+K5</f>
        <v>2081699</v>
      </c>
      <c r="L2" s="366">
        <v>2116449</v>
      </c>
      <c r="M2" s="366">
        <v>2166156</v>
      </c>
      <c r="N2" s="366">
        <f>N3+N4+N5</f>
        <v>2097532</v>
      </c>
      <c r="O2" s="308">
        <f>G2+H2+I2+J2</f>
        <v>7213796</v>
      </c>
      <c r="P2" s="308">
        <f>K2+L2+M2+N2</f>
        <v>8461836</v>
      </c>
      <c r="Q2" s="308">
        <v>8461836</v>
      </c>
      <c r="R2" s="276">
        <f>P2-Q2</f>
        <v>0</v>
      </c>
    </row>
    <row r="3" spans="1:18" ht="28.5" customHeight="1">
      <c r="A3" s="8" t="s">
        <v>119</v>
      </c>
      <c r="B3" s="372" t="s">
        <v>123</v>
      </c>
      <c r="C3" s="367">
        <v>0</v>
      </c>
      <c r="D3" s="367">
        <v>0</v>
      </c>
      <c r="E3" s="367">
        <v>0</v>
      </c>
      <c r="F3" s="367">
        <v>0</v>
      </c>
      <c r="G3" s="367">
        <v>1487943</v>
      </c>
      <c r="H3" s="367">
        <v>1537794</v>
      </c>
      <c r="I3" s="367">
        <v>1584506</v>
      </c>
      <c r="J3" s="367">
        <v>1734889</v>
      </c>
      <c r="K3" s="367">
        <v>1821282</v>
      </c>
      <c r="L3" s="367">
        <v>1869671</v>
      </c>
      <c r="M3" s="367">
        <v>1923854</v>
      </c>
      <c r="N3" s="367">
        <v>1852731</v>
      </c>
      <c r="O3" s="308">
        <f t="shared" ref="O3:O30" si="0">G3+H3+I3+J3</f>
        <v>6345132</v>
      </c>
      <c r="P3" s="308">
        <f t="shared" ref="P3:P30" si="1">K3+L3+M3+N3</f>
        <v>7467538</v>
      </c>
      <c r="Q3" s="308">
        <v>7467538</v>
      </c>
      <c r="R3" s="276">
        <f t="shared" ref="R3:R30" si="2">P3-Q3</f>
        <v>0</v>
      </c>
    </row>
    <row r="4" spans="1:18" ht="28.5" customHeight="1">
      <c r="A4" s="8" t="s">
        <v>120</v>
      </c>
      <c r="B4" s="372" t="s">
        <v>124</v>
      </c>
      <c r="C4" s="367">
        <v>0</v>
      </c>
      <c r="D4" s="367">
        <v>0</v>
      </c>
      <c r="E4" s="367">
        <v>0</v>
      </c>
      <c r="F4" s="367">
        <v>0</v>
      </c>
      <c r="G4" s="367">
        <v>163239</v>
      </c>
      <c r="H4" s="367">
        <v>174832</v>
      </c>
      <c r="I4" s="367">
        <v>189226</v>
      </c>
      <c r="J4" s="367">
        <v>206081</v>
      </c>
      <c r="K4" s="367">
        <v>209674</v>
      </c>
      <c r="L4" s="367">
        <v>199210</v>
      </c>
      <c r="M4" s="367">
        <v>209193</v>
      </c>
      <c r="N4" s="367">
        <v>215747</v>
      </c>
      <c r="O4" s="308">
        <f t="shared" si="0"/>
        <v>733378</v>
      </c>
      <c r="P4" s="308">
        <f t="shared" si="1"/>
        <v>833824</v>
      </c>
      <c r="Q4" s="308">
        <v>833824</v>
      </c>
      <c r="R4" s="276">
        <f t="shared" si="2"/>
        <v>0</v>
      </c>
    </row>
    <row r="5" spans="1:18" ht="28.5" customHeight="1">
      <c r="A5" s="8" t="s">
        <v>121</v>
      </c>
      <c r="B5" s="372" t="s">
        <v>122</v>
      </c>
      <c r="C5" s="367">
        <v>0</v>
      </c>
      <c r="D5" s="367">
        <v>0</v>
      </c>
      <c r="E5" s="367">
        <v>0</v>
      </c>
      <c r="F5" s="367">
        <v>0</v>
      </c>
      <c r="G5" s="367">
        <v>37319</v>
      </c>
      <c r="H5" s="367">
        <v>24117</v>
      </c>
      <c r="I5" s="367">
        <v>31977</v>
      </c>
      <c r="J5" s="367">
        <v>41873</v>
      </c>
      <c r="K5" s="367">
        <v>50743</v>
      </c>
      <c r="L5" s="367">
        <v>47568</v>
      </c>
      <c r="M5" s="367">
        <v>33109</v>
      </c>
      <c r="N5" s="367">
        <v>29054</v>
      </c>
      <c r="O5" s="308">
        <f t="shared" si="0"/>
        <v>135286</v>
      </c>
      <c r="P5" s="308">
        <f t="shared" si="1"/>
        <v>160474</v>
      </c>
      <c r="Q5" s="308">
        <v>160474</v>
      </c>
      <c r="R5" s="276">
        <f t="shared" si="2"/>
        <v>0</v>
      </c>
    </row>
    <row r="6" spans="1:18" ht="15" customHeight="1">
      <c r="A6" s="10" t="s">
        <v>88</v>
      </c>
      <c r="B6" s="373" t="s">
        <v>50</v>
      </c>
      <c r="C6" s="367">
        <v>-305806</v>
      </c>
      <c r="D6" s="367">
        <v>-318481</v>
      </c>
      <c r="E6" s="367">
        <v>-322842</v>
      </c>
      <c r="F6" s="367">
        <v>-305281</v>
      </c>
      <c r="G6" s="367">
        <v>-298675</v>
      </c>
      <c r="H6" s="367">
        <v>-340536</v>
      </c>
      <c r="I6" s="367">
        <v>-383490</v>
      </c>
      <c r="J6" s="367">
        <v>-448690</v>
      </c>
      <c r="K6" s="367">
        <v>-473099</v>
      </c>
      <c r="L6" s="367">
        <v>-492917</v>
      </c>
      <c r="M6" s="367">
        <v>-465122</v>
      </c>
      <c r="N6" s="367">
        <v>-450529</v>
      </c>
      <c r="O6" s="308">
        <f t="shared" si="0"/>
        <v>-1471391</v>
      </c>
      <c r="P6" s="308">
        <f t="shared" si="1"/>
        <v>-1881667</v>
      </c>
      <c r="Q6" s="308">
        <v>-1881667</v>
      </c>
      <c r="R6" s="276">
        <f t="shared" si="2"/>
        <v>0</v>
      </c>
    </row>
    <row r="7" spans="1:18" ht="15" customHeight="1">
      <c r="A7" s="11" t="s">
        <v>89</v>
      </c>
      <c r="B7" s="374" t="s">
        <v>1</v>
      </c>
      <c r="C7" s="368">
        <f t="shared" ref="C7:K7" si="3">C2+C6</f>
        <v>1253996</v>
      </c>
      <c r="D7" s="368">
        <f t="shared" si="3"/>
        <v>1302487</v>
      </c>
      <c r="E7" s="368">
        <f t="shared" si="3"/>
        <v>1340966</v>
      </c>
      <c r="F7" s="368">
        <f t="shared" si="3"/>
        <v>1379448</v>
      </c>
      <c r="G7" s="368">
        <f t="shared" si="3"/>
        <v>1389826</v>
      </c>
      <c r="H7" s="368">
        <f t="shared" si="3"/>
        <v>1396207</v>
      </c>
      <c r="I7" s="368">
        <f t="shared" si="3"/>
        <v>1422219</v>
      </c>
      <c r="J7" s="368">
        <f t="shared" si="3"/>
        <v>1534153</v>
      </c>
      <c r="K7" s="368">
        <f t="shared" si="3"/>
        <v>1608600</v>
      </c>
      <c r="L7" s="368">
        <v>1623532</v>
      </c>
      <c r="M7" s="368">
        <v>1701034</v>
      </c>
      <c r="N7" s="368">
        <f>N2+N6</f>
        <v>1647003</v>
      </c>
      <c r="O7" s="308">
        <f t="shared" si="0"/>
        <v>5742405</v>
      </c>
      <c r="P7" s="308">
        <f t="shared" si="1"/>
        <v>6580169</v>
      </c>
      <c r="Q7" s="308">
        <v>6580169</v>
      </c>
      <c r="R7" s="276">
        <f t="shared" si="2"/>
        <v>0</v>
      </c>
    </row>
    <row r="8" spans="1:18" ht="15" customHeight="1">
      <c r="A8" s="10" t="s">
        <v>90</v>
      </c>
      <c r="B8" s="373" t="s">
        <v>2</v>
      </c>
      <c r="C8" s="367">
        <v>571025</v>
      </c>
      <c r="D8" s="367">
        <v>607881</v>
      </c>
      <c r="E8" s="367">
        <v>654490</v>
      </c>
      <c r="F8" s="367">
        <v>642813</v>
      </c>
      <c r="G8" s="367">
        <v>603973</v>
      </c>
      <c r="H8" s="367">
        <v>649627</v>
      </c>
      <c r="I8" s="367">
        <v>608742</v>
      </c>
      <c r="J8" s="367">
        <v>664230</v>
      </c>
      <c r="K8" s="367">
        <v>629803</v>
      </c>
      <c r="L8" s="367">
        <v>661065</v>
      </c>
      <c r="M8" s="367">
        <v>662229</v>
      </c>
      <c r="N8" s="367">
        <v>694952</v>
      </c>
      <c r="O8" s="308">
        <f>G8+H8+I8+J8</f>
        <v>2526572</v>
      </c>
      <c r="P8" s="308">
        <f t="shared" si="1"/>
        <v>2648049</v>
      </c>
      <c r="Q8" s="308">
        <v>2648049</v>
      </c>
      <c r="R8" s="276">
        <f t="shared" si="2"/>
        <v>0</v>
      </c>
    </row>
    <row r="9" spans="1:18" ht="15" customHeight="1">
      <c r="A9" s="10" t="s">
        <v>91</v>
      </c>
      <c r="B9" s="373" t="s">
        <v>3</v>
      </c>
      <c r="C9" s="367">
        <v>-95832</v>
      </c>
      <c r="D9" s="367">
        <v>-112239</v>
      </c>
      <c r="E9" s="367">
        <v>-127585</v>
      </c>
      <c r="F9" s="367">
        <v>-127427</v>
      </c>
      <c r="G9" s="367">
        <v>-88859</v>
      </c>
      <c r="H9" s="367">
        <v>-119867</v>
      </c>
      <c r="I9" s="367">
        <v>-93092</v>
      </c>
      <c r="J9" s="367">
        <v>-166952</v>
      </c>
      <c r="K9" s="367">
        <v>-109741</v>
      </c>
      <c r="L9" s="367">
        <v>-138708</v>
      </c>
      <c r="M9" s="367">
        <v>-118182</v>
      </c>
      <c r="N9" s="367">
        <v>-153246</v>
      </c>
      <c r="O9" s="308">
        <f t="shared" si="0"/>
        <v>-468770</v>
      </c>
      <c r="P9" s="308">
        <f t="shared" si="1"/>
        <v>-519877</v>
      </c>
      <c r="Q9" s="308">
        <v>-519877</v>
      </c>
      <c r="R9" s="276">
        <f t="shared" si="2"/>
        <v>0</v>
      </c>
    </row>
    <row r="10" spans="1:18" ht="15" customHeight="1">
      <c r="A10" s="11" t="s">
        <v>55</v>
      </c>
      <c r="B10" s="374" t="s">
        <v>4</v>
      </c>
      <c r="C10" s="368">
        <f>C8+C9</f>
        <v>475193</v>
      </c>
      <c r="D10" s="368">
        <f>D8+D9</f>
        <v>495642</v>
      </c>
      <c r="E10" s="368">
        <f>E8+E9</f>
        <v>526905</v>
      </c>
      <c r="F10" s="368">
        <v>515386</v>
      </c>
      <c r="G10" s="368">
        <f>SUM(G8:G9)</f>
        <v>515114</v>
      </c>
      <c r="H10" s="368">
        <f>SUM(H8:H9)</f>
        <v>529760</v>
      </c>
      <c r="I10" s="368">
        <f>SUM(I8:I9)</f>
        <v>515650</v>
      </c>
      <c r="J10" s="368">
        <f>J8+J9</f>
        <v>497278</v>
      </c>
      <c r="K10" s="368">
        <f>K8+K9</f>
        <v>520062</v>
      </c>
      <c r="L10" s="368">
        <v>522357</v>
      </c>
      <c r="M10" s="368">
        <v>544047</v>
      </c>
      <c r="N10" s="368">
        <f>N8+N9</f>
        <v>541706</v>
      </c>
      <c r="O10" s="308">
        <f t="shared" si="0"/>
        <v>2057802</v>
      </c>
      <c r="P10" s="308">
        <f t="shared" si="1"/>
        <v>2128172</v>
      </c>
      <c r="Q10" s="308">
        <v>2128172</v>
      </c>
      <c r="R10" s="276">
        <f t="shared" si="2"/>
        <v>0</v>
      </c>
    </row>
    <row r="11" spans="1:18" ht="15" customHeight="1">
      <c r="A11" s="10" t="s">
        <v>92</v>
      </c>
      <c r="B11" s="373" t="s">
        <v>5</v>
      </c>
      <c r="C11" s="367">
        <v>345</v>
      </c>
      <c r="D11" s="367">
        <v>75579</v>
      </c>
      <c r="E11" s="367">
        <v>712</v>
      </c>
      <c r="F11" s="367">
        <v>180</v>
      </c>
      <c r="G11" s="367">
        <v>185</v>
      </c>
      <c r="H11" s="367">
        <v>98323</v>
      </c>
      <c r="I11" s="367">
        <v>1353</v>
      </c>
      <c r="J11" s="367">
        <v>255</v>
      </c>
      <c r="K11" s="367">
        <v>247</v>
      </c>
      <c r="L11" s="367">
        <v>96993</v>
      </c>
      <c r="M11" s="367">
        <v>1468</v>
      </c>
      <c r="N11" s="367">
        <v>513</v>
      </c>
      <c r="O11" s="308">
        <f t="shared" si="0"/>
        <v>100116</v>
      </c>
      <c r="P11" s="308">
        <f t="shared" si="1"/>
        <v>99221</v>
      </c>
      <c r="Q11" s="308">
        <v>99221</v>
      </c>
      <c r="R11" s="276">
        <f t="shared" si="2"/>
        <v>0</v>
      </c>
    </row>
    <row r="12" spans="1:18" ht="15" customHeight="1">
      <c r="A12" s="10" t="s">
        <v>93</v>
      </c>
      <c r="B12" s="373" t="s">
        <v>6</v>
      </c>
      <c r="C12" s="367">
        <v>55858</v>
      </c>
      <c r="D12" s="367">
        <v>36228</v>
      </c>
      <c r="E12" s="367">
        <v>55567</v>
      </c>
      <c r="F12" s="367">
        <v>47321</v>
      </c>
      <c r="G12" s="367">
        <f>-1083</f>
        <v>-1083</v>
      </c>
      <c r="H12" s="367">
        <v>69249</v>
      </c>
      <c r="I12" s="367">
        <v>60451</v>
      </c>
      <c r="J12" s="367">
        <v>15922</v>
      </c>
      <c r="K12" s="367">
        <v>48432</v>
      </c>
      <c r="L12" s="367">
        <v>30201</v>
      </c>
      <c r="M12" s="367">
        <v>63780</v>
      </c>
      <c r="N12" s="367">
        <v>73136</v>
      </c>
      <c r="O12" s="308">
        <f t="shared" si="0"/>
        <v>144539</v>
      </c>
      <c r="P12" s="308">
        <f t="shared" si="1"/>
        <v>215549</v>
      </c>
      <c r="Q12" s="308">
        <v>0</v>
      </c>
      <c r="R12" s="276">
        <f t="shared" si="2"/>
        <v>215549</v>
      </c>
    </row>
    <row r="13" spans="1:18" ht="15" customHeight="1">
      <c r="A13" s="10" t="s">
        <v>94</v>
      </c>
      <c r="B13" s="373" t="s">
        <v>7</v>
      </c>
      <c r="C13" s="367">
        <v>17177</v>
      </c>
      <c r="D13" s="367">
        <v>10770</v>
      </c>
      <c r="E13" s="367">
        <v>3962</v>
      </c>
      <c r="F13" s="367">
        <v>15593</v>
      </c>
      <c r="G13" s="367">
        <v>3927</v>
      </c>
      <c r="H13" s="367">
        <v>16900</v>
      </c>
      <c r="I13" s="367">
        <v>29449</v>
      </c>
      <c r="J13" s="367">
        <v>-12796</v>
      </c>
      <c r="K13" s="367">
        <v>32855</v>
      </c>
      <c r="L13" s="367">
        <v>61896</v>
      </c>
      <c r="M13" s="367">
        <v>42341</v>
      </c>
      <c r="N13" s="367">
        <v>48383</v>
      </c>
      <c r="O13" s="308">
        <f t="shared" si="0"/>
        <v>37480</v>
      </c>
      <c r="P13" s="308">
        <f t="shared" si="1"/>
        <v>185475</v>
      </c>
      <c r="Q13" s="308">
        <v>215549</v>
      </c>
      <c r="R13" s="276">
        <f t="shared" si="2"/>
        <v>-30074</v>
      </c>
    </row>
    <row r="14" spans="1:18" ht="15" customHeight="1">
      <c r="A14" s="10" t="s">
        <v>109</v>
      </c>
      <c r="B14" s="373" t="s">
        <v>54</v>
      </c>
      <c r="C14" s="367">
        <v>3757</v>
      </c>
      <c r="D14" s="367">
        <v>0</v>
      </c>
      <c r="E14" s="367">
        <v>0</v>
      </c>
      <c r="F14" s="367">
        <v>0</v>
      </c>
      <c r="G14" s="367">
        <v>-65</v>
      </c>
      <c r="H14" s="367">
        <v>0</v>
      </c>
      <c r="I14" s="367">
        <v>0</v>
      </c>
      <c r="J14" s="367">
        <v>0</v>
      </c>
      <c r="K14" s="367">
        <v>0</v>
      </c>
      <c r="L14" s="367">
        <v>0</v>
      </c>
      <c r="M14" s="367">
        <v>0</v>
      </c>
      <c r="N14" s="367">
        <v>0</v>
      </c>
      <c r="O14" s="308">
        <f t="shared" si="0"/>
        <v>-65</v>
      </c>
      <c r="P14" s="308">
        <f t="shared" si="1"/>
        <v>0</v>
      </c>
      <c r="Q14" s="308">
        <v>185475</v>
      </c>
      <c r="R14" s="276">
        <f t="shared" si="2"/>
        <v>-185475</v>
      </c>
    </row>
    <row r="15" spans="1:18" ht="15" customHeight="1">
      <c r="A15" s="10" t="s">
        <v>95</v>
      </c>
      <c r="B15" s="373" t="s">
        <v>8</v>
      </c>
      <c r="C15" s="367">
        <v>42340</v>
      </c>
      <c r="D15" s="367">
        <v>32204</v>
      </c>
      <c r="E15" s="367">
        <v>23671</v>
      </c>
      <c r="F15" s="367">
        <v>52372</v>
      </c>
      <c r="G15" s="367">
        <f>77448</f>
        <v>77448</v>
      </c>
      <c r="H15" s="367">
        <v>76421</v>
      </c>
      <c r="I15" s="367">
        <v>25814</v>
      </c>
      <c r="J15" s="367">
        <v>34159</v>
      </c>
      <c r="K15" s="367">
        <v>34870</v>
      </c>
      <c r="L15" s="367">
        <v>60831</v>
      </c>
      <c r="M15" s="367">
        <v>100956</v>
      </c>
      <c r="N15" s="367">
        <v>79259</v>
      </c>
      <c r="O15" s="308">
        <f t="shared" si="0"/>
        <v>213842</v>
      </c>
      <c r="P15" s="308">
        <f t="shared" si="1"/>
        <v>275916</v>
      </c>
      <c r="Q15" s="308">
        <v>275916</v>
      </c>
      <c r="R15" s="276">
        <f t="shared" si="2"/>
        <v>0</v>
      </c>
    </row>
    <row r="16" spans="1:18" ht="15" customHeight="1">
      <c r="A16" s="10" t="s">
        <v>153</v>
      </c>
      <c r="B16" s="373" t="s">
        <v>154</v>
      </c>
      <c r="C16" s="367"/>
      <c r="D16" s="367"/>
      <c r="E16" s="367"/>
      <c r="F16" s="367"/>
      <c r="G16" s="367">
        <v>0</v>
      </c>
      <c r="H16" s="367">
        <v>0</v>
      </c>
      <c r="I16" s="367">
        <v>0</v>
      </c>
      <c r="J16" s="367">
        <f>387733+31562</f>
        <v>419295</v>
      </c>
      <c r="K16" s="367">
        <v>0</v>
      </c>
      <c r="L16" s="367">
        <v>0</v>
      </c>
      <c r="M16" s="367">
        <v>0</v>
      </c>
      <c r="N16" s="367"/>
      <c r="O16" s="308">
        <f t="shared" si="0"/>
        <v>419295</v>
      </c>
      <c r="P16" s="308">
        <f t="shared" si="1"/>
        <v>0</v>
      </c>
      <c r="Q16" s="308">
        <v>0</v>
      </c>
      <c r="R16" s="276">
        <f t="shared" si="2"/>
        <v>0</v>
      </c>
    </row>
    <row r="17" spans="1:27" ht="15" customHeight="1">
      <c r="A17" s="10" t="s">
        <v>139</v>
      </c>
      <c r="B17" s="373" t="s">
        <v>9</v>
      </c>
      <c r="C17" s="367">
        <v>-145512</v>
      </c>
      <c r="D17" s="367">
        <v>-100366</v>
      </c>
      <c r="E17" s="367">
        <v>-231653</v>
      </c>
      <c r="F17" s="367">
        <v>-212942</v>
      </c>
      <c r="G17" s="367">
        <f>-203364</f>
        <v>-203364</v>
      </c>
      <c r="H17" s="367">
        <v>-257876</v>
      </c>
      <c r="I17" s="367">
        <v>-253665</v>
      </c>
      <c r="J17" s="367">
        <v>-370163</v>
      </c>
      <c r="K17" s="367">
        <v>-262688</v>
      </c>
      <c r="L17" s="367">
        <v>-356558</v>
      </c>
      <c r="M17" s="367">
        <v>-336556</v>
      </c>
      <c r="N17" s="367">
        <v>-263551</v>
      </c>
      <c r="O17" s="308">
        <f>G17+H17+I17+J17</f>
        <v>-1085068</v>
      </c>
      <c r="P17" s="308">
        <f t="shared" si="1"/>
        <v>-1219353</v>
      </c>
      <c r="Q17" s="308">
        <v>-1219353</v>
      </c>
      <c r="R17" s="276">
        <f t="shared" si="2"/>
        <v>0</v>
      </c>
    </row>
    <row r="18" spans="1:27" ht="15" customHeight="1">
      <c r="A18" s="10" t="s">
        <v>314</v>
      </c>
      <c r="B18" s="373" t="s">
        <v>10</v>
      </c>
      <c r="C18" s="367">
        <f>SUM(C19:C22)</f>
        <v>-865972</v>
      </c>
      <c r="D18" s="367">
        <f>SUM(D19:D22)</f>
        <v>-828582</v>
      </c>
      <c r="E18" s="367">
        <v>-807694</v>
      </c>
      <c r="F18" s="367">
        <v>-870166</v>
      </c>
      <c r="G18" s="367">
        <v>-971151</v>
      </c>
      <c r="H18" s="367">
        <v>-915827</v>
      </c>
      <c r="I18" s="367">
        <v>-916628</v>
      </c>
      <c r="J18" s="367">
        <f>J19+J20+J22</f>
        <v>-965363</v>
      </c>
      <c r="K18" s="367">
        <f>K19+K20+K22+K21</f>
        <v>-1238833</v>
      </c>
      <c r="L18" s="367">
        <v>-1026680</v>
      </c>
      <c r="M18" s="367">
        <v>-982342</v>
      </c>
      <c r="N18" s="367">
        <f>N19+N20+N21+N22</f>
        <v>-1240856</v>
      </c>
      <c r="O18" s="308">
        <f t="shared" si="0"/>
        <v>-3768969</v>
      </c>
      <c r="P18" s="308">
        <f t="shared" si="1"/>
        <v>-4488711</v>
      </c>
      <c r="Q18" s="308">
        <v>-4488711</v>
      </c>
      <c r="R18" s="276">
        <f t="shared" si="2"/>
        <v>0</v>
      </c>
    </row>
    <row r="19" spans="1:27" s="15" customFormat="1" ht="15" customHeight="1">
      <c r="A19" s="13" t="s">
        <v>140</v>
      </c>
      <c r="B19" s="375" t="s">
        <v>141</v>
      </c>
      <c r="C19" s="369">
        <v>-763710</v>
      </c>
      <c r="D19" s="369">
        <v>-734087</v>
      </c>
      <c r="E19" s="369">
        <v>-686366</v>
      </c>
      <c r="F19" s="369">
        <v>-755269</v>
      </c>
      <c r="G19" s="369">
        <v>-862454</v>
      </c>
      <c r="H19" s="369">
        <v>-751413</v>
      </c>
      <c r="I19" s="369">
        <v>-800454</v>
      </c>
      <c r="J19" s="369">
        <v>-828437</v>
      </c>
      <c r="K19" s="369">
        <v>-1056859</v>
      </c>
      <c r="L19" s="369">
        <v>-813201</v>
      </c>
      <c r="M19" s="369">
        <v>-789211</v>
      </c>
      <c r="N19" s="369">
        <v>-766961</v>
      </c>
      <c r="O19" s="308">
        <f t="shared" si="0"/>
        <v>-3242758</v>
      </c>
      <c r="P19" s="308">
        <f t="shared" si="1"/>
        <v>-3426232</v>
      </c>
      <c r="Q19" s="308">
        <v>-3426232</v>
      </c>
      <c r="R19" s="276">
        <f t="shared" si="2"/>
        <v>0</v>
      </c>
      <c r="S19" s="30"/>
      <c r="T19" s="30"/>
      <c r="U19" s="30"/>
      <c r="V19" s="30"/>
      <c r="W19" s="30"/>
      <c r="X19" s="30"/>
      <c r="Y19" s="30"/>
      <c r="Z19" s="30"/>
      <c r="AA19" s="30"/>
    </row>
    <row r="20" spans="1:27" s="15" customFormat="1" ht="15" customHeight="1">
      <c r="A20" s="13" t="s">
        <v>160</v>
      </c>
      <c r="B20" s="375" t="s">
        <v>11</v>
      </c>
      <c r="C20" s="369">
        <v>-74269</v>
      </c>
      <c r="D20" s="369">
        <v>-77840</v>
      </c>
      <c r="E20" s="369">
        <v>-82167</v>
      </c>
      <c r="F20" s="369">
        <v>-84657</v>
      </c>
      <c r="G20" s="369">
        <v>-82536</v>
      </c>
      <c r="H20" s="369">
        <v>-79866</v>
      </c>
      <c r="I20" s="369">
        <v>-82093</v>
      </c>
      <c r="J20" s="369">
        <v>-88975</v>
      </c>
      <c r="K20" s="369">
        <f>-99583</f>
        <v>-99583</v>
      </c>
      <c r="L20" s="369">
        <v>-102806</v>
      </c>
      <c r="M20" s="369">
        <v>-103264</v>
      </c>
      <c r="N20" s="369">
        <v>-119571</v>
      </c>
      <c r="O20" s="308">
        <f t="shared" si="0"/>
        <v>-333470</v>
      </c>
      <c r="P20" s="308">
        <f t="shared" si="1"/>
        <v>-425224</v>
      </c>
      <c r="Q20" s="308">
        <v>-425224</v>
      </c>
      <c r="R20" s="276">
        <f t="shared" si="2"/>
        <v>0</v>
      </c>
      <c r="S20" s="30"/>
      <c r="T20" s="30"/>
      <c r="U20" s="30"/>
      <c r="V20" s="30"/>
      <c r="W20" s="30"/>
      <c r="X20" s="30"/>
      <c r="Y20" s="30"/>
      <c r="Z20" s="30"/>
      <c r="AA20" s="30"/>
    </row>
    <row r="21" spans="1:27" s="15" customFormat="1" ht="15" customHeight="1">
      <c r="A21" s="13" t="s">
        <v>161</v>
      </c>
      <c r="B21" s="375" t="s">
        <v>162</v>
      </c>
      <c r="C21" s="369"/>
      <c r="D21" s="369"/>
      <c r="E21" s="369"/>
      <c r="F21" s="369"/>
      <c r="G21" s="369">
        <v>0</v>
      </c>
      <c r="H21" s="369">
        <v>0</v>
      </c>
      <c r="I21" s="369">
        <v>0</v>
      </c>
      <c r="J21" s="369">
        <v>0</v>
      </c>
      <c r="K21" s="369">
        <v>-52998</v>
      </c>
      <c r="L21" s="369">
        <v>-54412</v>
      </c>
      <c r="M21" s="369">
        <v>-54283</v>
      </c>
      <c r="N21" s="369">
        <v>-41258</v>
      </c>
      <c r="O21" s="308">
        <f t="shared" si="0"/>
        <v>0</v>
      </c>
      <c r="P21" s="308">
        <f t="shared" si="1"/>
        <v>-202951</v>
      </c>
      <c r="Q21" s="308">
        <v>-202951</v>
      </c>
      <c r="R21" s="276">
        <f t="shared" si="2"/>
        <v>0</v>
      </c>
      <c r="S21" s="30"/>
      <c r="T21" s="30"/>
      <c r="U21" s="30"/>
      <c r="V21" s="30"/>
      <c r="W21" s="30"/>
      <c r="X21" s="30"/>
      <c r="Y21" s="30"/>
      <c r="Z21" s="30"/>
      <c r="AA21" s="30"/>
    </row>
    <row r="22" spans="1:27" s="15" customFormat="1" ht="15" customHeight="1">
      <c r="A22" s="13" t="s">
        <v>60</v>
      </c>
      <c r="B22" s="375" t="s">
        <v>12</v>
      </c>
      <c r="C22" s="369">
        <v>-27993</v>
      </c>
      <c r="D22" s="369">
        <v>-16655</v>
      </c>
      <c r="E22" s="369">
        <v>-39161</v>
      </c>
      <c r="F22" s="369">
        <v>-30240</v>
      </c>
      <c r="G22" s="369">
        <v>-26161</v>
      </c>
      <c r="H22" s="369">
        <v>-84548</v>
      </c>
      <c r="I22" s="369">
        <v>-34081</v>
      </c>
      <c r="J22" s="369">
        <v>-47951</v>
      </c>
      <c r="K22" s="369">
        <v>-29393</v>
      </c>
      <c r="L22" s="369">
        <v>-56261</v>
      </c>
      <c r="M22" s="369">
        <v>-35584</v>
      </c>
      <c r="N22" s="369">
        <v>-313066</v>
      </c>
      <c r="O22" s="308">
        <f t="shared" si="0"/>
        <v>-192741</v>
      </c>
      <c r="P22" s="308">
        <f t="shared" si="1"/>
        <v>-434304</v>
      </c>
      <c r="Q22" s="308">
        <v>-434304</v>
      </c>
      <c r="R22" s="276">
        <f t="shared" si="2"/>
        <v>0</v>
      </c>
      <c r="S22" s="30"/>
      <c r="T22" s="30"/>
      <c r="U22" s="30"/>
      <c r="V22" s="30"/>
      <c r="W22" s="30"/>
      <c r="X22" s="30"/>
      <c r="Y22" s="30"/>
      <c r="Z22" s="30"/>
      <c r="AA22" s="30"/>
    </row>
    <row r="23" spans="1:27" ht="30" customHeight="1">
      <c r="A23" s="10" t="s">
        <v>110</v>
      </c>
      <c r="B23" s="373" t="s">
        <v>51</v>
      </c>
      <c r="C23" s="367">
        <v>8655</v>
      </c>
      <c r="D23" s="367">
        <v>15157</v>
      </c>
      <c r="E23" s="367">
        <v>14734</v>
      </c>
      <c r="F23" s="367">
        <v>19718</v>
      </c>
      <c r="G23" s="367">
        <v>10998</v>
      </c>
      <c r="H23" s="367">
        <v>14504</v>
      </c>
      <c r="I23" s="367">
        <v>16752</v>
      </c>
      <c r="J23" s="367">
        <v>20413</v>
      </c>
      <c r="K23" s="367">
        <v>14338</v>
      </c>
      <c r="L23" s="367">
        <v>15945</v>
      </c>
      <c r="M23" s="367">
        <v>18641</v>
      </c>
      <c r="N23" s="367">
        <v>18268</v>
      </c>
      <c r="O23" s="308">
        <f t="shared" si="0"/>
        <v>62667</v>
      </c>
      <c r="P23" s="308">
        <f t="shared" si="1"/>
        <v>67192</v>
      </c>
      <c r="Q23" s="308">
        <v>67192</v>
      </c>
      <c r="R23" s="276">
        <f t="shared" si="2"/>
        <v>0</v>
      </c>
    </row>
    <row r="24" spans="1:27" ht="15" customHeight="1">
      <c r="A24" s="16" t="s">
        <v>101</v>
      </c>
      <c r="B24" s="376" t="s">
        <v>102</v>
      </c>
      <c r="C24" s="370">
        <v>-106392</v>
      </c>
      <c r="D24" s="370">
        <v>-108320</v>
      </c>
      <c r="E24" s="370">
        <v>-109373</v>
      </c>
      <c r="F24" s="370">
        <v>-113471</v>
      </c>
      <c r="G24" s="370">
        <v>-113444</v>
      </c>
      <c r="H24" s="370">
        <v>-119546</v>
      </c>
      <c r="I24" s="370">
        <v>-123515</v>
      </c>
      <c r="J24" s="370">
        <v>-143255</v>
      </c>
      <c r="K24" s="370">
        <v>-153693</v>
      </c>
      <c r="L24" s="370">
        <v>-151603</v>
      </c>
      <c r="M24" s="370">
        <v>-146433</v>
      </c>
      <c r="N24" s="370">
        <v>-147305</v>
      </c>
      <c r="O24" s="308">
        <f t="shared" si="0"/>
        <v>-499760</v>
      </c>
      <c r="P24" s="308">
        <f t="shared" si="1"/>
        <v>-599034</v>
      </c>
      <c r="Q24" s="308">
        <v>-599034</v>
      </c>
      <c r="R24" s="276">
        <f t="shared" si="2"/>
        <v>0</v>
      </c>
    </row>
    <row r="25" spans="1:27" ht="15" customHeight="1">
      <c r="A25" s="11" t="s">
        <v>96</v>
      </c>
      <c r="B25" s="374" t="s">
        <v>13</v>
      </c>
      <c r="C25" s="368">
        <f t="shared" ref="C25:M25" si="4">SUM(C7+C10+C11+C12+C13+C15+C17+C18+C14+C16,C23,C24)</f>
        <v>739445</v>
      </c>
      <c r="D25" s="368">
        <f t="shared" si="4"/>
        <v>930799</v>
      </c>
      <c r="E25" s="368">
        <f t="shared" si="4"/>
        <v>817797</v>
      </c>
      <c r="F25" s="368">
        <f t="shared" si="4"/>
        <v>833439</v>
      </c>
      <c r="G25" s="368">
        <f t="shared" si="4"/>
        <v>708391</v>
      </c>
      <c r="H25" s="368">
        <f t="shared" si="4"/>
        <v>908115</v>
      </c>
      <c r="I25" s="368">
        <f t="shared" si="4"/>
        <v>777880</v>
      </c>
      <c r="J25" s="368">
        <f t="shared" si="4"/>
        <v>1029898</v>
      </c>
      <c r="K25" s="368">
        <f t="shared" si="4"/>
        <v>604190</v>
      </c>
      <c r="L25" s="368">
        <f t="shared" si="4"/>
        <v>876914</v>
      </c>
      <c r="M25" s="368">
        <f t="shared" si="4"/>
        <v>1006936</v>
      </c>
      <c r="N25" s="368">
        <v>756556</v>
      </c>
      <c r="O25" s="308">
        <f>G25+H25+I25+J25</f>
        <v>3424284</v>
      </c>
      <c r="P25" s="308">
        <f t="shared" si="1"/>
        <v>3244596</v>
      </c>
      <c r="Q25" s="308">
        <v>3244596</v>
      </c>
      <c r="R25" s="276">
        <f t="shared" si="2"/>
        <v>0</v>
      </c>
    </row>
    <row r="26" spans="1:27" ht="15" customHeight="1">
      <c r="A26" s="17" t="s">
        <v>97</v>
      </c>
      <c r="B26" s="377" t="s">
        <v>14</v>
      </c>
      <c r="C26" s="370">
        <v>-212812</v>
      </c>
      <c r="D26" s="370">
        <v>-199737</v>
      </c>
      <c r="E26" s="370">
        <v>-188610</v>
      </c>
      <c r="F26" s="370">
        <v>-215548</v>
      </c>
      <c r="G26" s="370">
        <v>-180987</v>
      </c>
      <c r="H26" s="370">
        <v>-176520</v>
      </c>
      <c r="I26" s="370">
        <v>-201320</v>
      </c>
      <c r="J26" s="370">
        <v>-168312</v>
      </c>
      <c r="K26" s="370">
        <v>-191634</v>
      </c>
      <c r="L26" s="370">
        <v>-198989</v>
      </c>
      <c r="M26" s="370">
        <v>-227709</v>
      </c>
      <c r="N26" s="370">
        <v>-182156</v>
      </c>
      <c r="O26" s="308">
        <f t="shared" si="0"/>
        <v>-727139</v>
      </c>
      <c r="P26" s="308">
        <f t="shared" si="1"/>
        <v>-800488</v>
      </c>
      <c r="Q26" s="308">
        <v>-800488</v>
      </c>
      <c r="R26" s="276">
        <f t="shared" si="2"/>
        <v>0</v>
      </c>
    </row>
    <row r="27" spans="1:27" ht="15" customHeight="1">
      <c r="A27" s="7" t="s">
        <v>98</v>
      </c>
      <c r="B27" s="371" t="s">
        <v>52</v>
      </c>
      <c r="C27" s="366">
        <f t="shared" ref="C27:L27" si="5">C25+C26</f>
        <v>526633</v>
      </c>
      <c r="D27" s="366">
        <f t="shared" si="5"/>
        <v>731062</v>
      </c>
      <c r="E27" s="366">
        <f t="shared" si="5"/>
        <v>629187</v>
      </c>
      <c r="F27" s="366">
        <f t="shared" si="5"/>
        <v>617891</v>
      </c>
      <c r="G27" s="366">
        <f t="shared" si="5"/>
        <v>527404</v>
      </c>
      <c r="H27" s="366">
        <f t="shared" si="5"/>
        <v>731595</v>
      </c>
      <c r="I27" s="366">
        <f t="shared" si="5"/>
        <v>576560</v>
      </c>
      <c r="J27" s="366">
        <f t="shared" si="5"/>
        <v>861586</v>
      </c>
      <c r="K27" s="366">
        <f t="shared" si="5"/>
        <v>412556</v>
      </c>
      <c r="L27" s="366">
        <f t="shared" si="5"/>
        <v>677925</v>
      </c>
      <c r="M27" s="366">
        <f>M25+M26</f>
        <v>779227</v>
      </c>
      <c r="N27" s="366">
        <v>574400</v>
      </c>
      <c r="O27" s="308">
        <f t="shared" si="0"/>
        <v>2697145</v>
      </c>
      <c r="P27" s="308">
        <f t="shared" si="1"/>
        <v>2444108</v>
      </c>
      <c r="Q27" s="308">
        <v>2444108</v>
      </c>
      <c r="R27" s="276">
        <f t="shared" si="2"/>
        <v>0</v>
      </c>
    </row>
    <row r="28" spans="1:27" ht="15" customHeight="1">
      <c r="A28" s="16" t="s">
        <v>99</v>
      </c>
      <c r="B28" s="376" t="s">
        <v>53</v>
      </c>
      <c r="C28" s="370"/>
      <c r="D28" s="370"/>
      <c r="E28" s="370"/>
      <c r="F28" s="370"/>
      <c r="G28" s="370"/>
      <c r="H28" s="370"/>
      <c r="I28" s="370"/>
      <c r="J28" s="370"/>
      <c r="K28" s="370"/>
      <c r="L28" s="370"/>
      <c r="M28" s="370"/>
      <c r="N28" s="370"/>
      <c r="O28" s="308">
        <f t="shared" si="0"/>
        <v>0</v>
      </c>
      <c r="P28" s="308">
        <f t="shared" si="1"/>
        <v>0</v>
      </c>
      <c r="Q28" s="308">
        <v>0</v>
      </c>
      <c r="R28" s="276">
        <f t="shared" si="2"/>
        <v>0</v>
      </c>
    </row>
    <row r="29" spans="1:27" ht="15" customHeight="1">
      <c r="A29" s="10" t="s">
        <v>138</v>
      </c>
      <c r="B29" s="373" t="s">
        <v>142</v>
      </c>
      <c r="C29" s="367">
        <f t="shared" ref="C29:E29" si="6">C27-C30</f>
        <v>452461</v>
      </c>
      <c r="D29" s="367">
        <f t="shared" si="6"/>
        <v>647914</v>
      </c>
      <c r="E29" s="367">
        <f t="shared" si="6"/>
        <v>556427</v>
      </c>
      <c r="F29" s="367">
        <f>F27-F30</f>
        <v>542511</v>
      </c>
      <c r="G29" s="367">
        <f t="shared" ref="G29" si="7">G27-G30</f>
        <v>433933</v>
      </c>
      <c r="H29" s="367">
        <f t="shared" ref="H29" si="8">H27-H30</f>
        <v>643810</v>
      </c>
      <c r="I29" s="367">
        <f t="shared" ref="I29" si="9">I27-I30</f>
        <v>497466</v>
      </c>
      <c r="J29" s="367">
        <f>J27-J30</f>
        <v>788145</v>
      </c>
      <c r="K29" s="367">
        <f t="shared" ref="K29:L29" si="10">K27-K30</f>
        <v>339007</v>
      </c>
      <c r="L29" s="367">
        <f t="shared" si="10"/>
        <v>596465</v>
      </c>
      <c r="M29" s="367">
        <f>M27-M30</f>
        <v>695841</v>
      </c>
      <c r="N29" s="367">
        <v>507034</v>
      </c>
      <c r="O29" s="308">
        <f t="shared" si="0"/>
        <v>2363354</v>
      </c>
      <c r="P29" s="308">
        <f t="shared" si="1"/>
        <v>2138347</v>
      </c>
      <c r="Q29" s="308">
        <v>2138347</v>
      </c>
      <c r="R29" s="276">
        <f t="shared" si="2"/>
        <v>0</v>
      </c>
    </row>
    <row r="30" spans="1:27" ht="15" customHeight="1">
      <c r="A30" s="18" t="s">
        <v>100</v>
      </c>
      <c r="B30" s="378" t="s">
        <v>15</v>
      </c>
      <c r="C30" s="430">
        <v>74172</v>
      </c>
      <c r="D30" s="430">
        <v>83148</v>
      </c>
      <c r="E30" s="430">
        <v>72760</v>
      </c>
      <c r="F30" s="430">
        <v>75380</v>
      </c>
      <c r="G30" s="430">
        <v>93471</v>
      </c>
      <c r="H30" s="430">
        <v>87785</v>
      </c>
      <c r="I30" s="430">
        <v>79094</v>
      </c>
      <c r="J30" s="430">
        <v>73441</v>
      </c>
      <c r="K30" s="430">
        <v>73549</v>
      </c>
      <c r="L30" s="430">
        <v>81460</v>
      </c>
      <c r="M30" s="430">
        <v>83386</v>
      </c>
      <c r="N30" s="430">
        <v>67366</v>
      </c>
      <c r="O30" s="308">
        <f t="shared" si="0"/>
        <v>333791</v>
      </c>
      <c r="P30" s="308">
        <f t="shared" si="1"/>
        <v>305761</v>
      </c>
      <c r="Q30" s="308">
        <v>305761</v>
      </c>
      <c r="R30" s="276">
        <f t="shared" si="2"/>
        <v>0</v>
      </c>
    </row>
    <row r="31" spans="1:27" s="29" customFormat="1" ht="17.25" customHeight="1">
      <c r="O31" s="352"/>
      <c r="P31" s="352"/>
      <c r="Q31" s="307"/>
    </row>
    <row r="32" spans="1:27" s="312" customFormat="1">
      <c r="C32" s="309"/>
      <c r="D32" s="309"/>
      <c r="E32" s="309"/>
      <c r="F32" s="309"/>
      <c r="G32" s="309"/>
      <c r="H32" s="309"/>
      <c r="I32" s="313"/>
      <c r="J32" s="313"/>
      <c r="N32" s="314"/>
      <c r="O32" s="353"/>
      <c r="P32" s="353"/>
    </row>
    <row r="33" spans="3:16" s="29" customFormat="1">
      <c r="C33" s="300"/>
      <c r="D33" s="300"/>
      <c r="E33" s="300"/>
      <c r="F33" s="300"/>
      <c r="G33" s="310"/>
      <c r="H33" s="310"/>
      <c r="J33" s="276"/>
      <c r="K33" s="276"/>
      <c r="L33" s="276"/>
      <c r="M33" s="276"/>
      <c r="N33" s="276"/>
      <c r="O33" s="310"/>
      <c r="P33" s="310"/>
    </row>
    <row r="34" spans="3:16" s="29" customFormat="1">
      <c r="C34" s="300"/>
      <c r="D34" s="300"/>
      <c r="E34" s="300"/>
      <c r="F34" s="300"/>
      <c r="G34" s="315"/>
      <c r="H34" s="310"/>
      <c r="K34" s="276"/>
      <c r="L34" s="276"/>
      <c r="M34" s="276"/>
      <c r="N34" s="276"/>
      <c r="O34" s="310"/>
      <c r="P34" s="310"/>
    </row>
    <row r="35" spans="3:16" s="29" customFormat="1">
      <c r="C35" s="300"/>
      <c r="D35" s="300"/>
      <c r="E35" s="300"/>
      <c r="F35" s="300"/>
      <c r="G35" s="310"/>
      <c r="H35" s="315"/>
      <c r="I35" s="276"/>
      <c r="J35" s="276"/>
      <c r="L35" s="276"/>
      <c r="M35" s="276"/>
      <c r="N35" s="29" t="s">
        <v>666</v>
      </c>
      <c r="O35" s="310"/>
      <c r="P35" s="310"/>
    </row>
    <row r="36" spans="3:16" s="29" customFormat="1">
      <c r="C36" s="311"/>
      <c r="D36" s="311"/>
      <c r="E36" s="311"/>
      <c r="F36" s="311"/>
      <c r="G36" s="311"/>
      <c r="H36" s="300"/>
      <c r="I36" s="300"/>
      <c r="O36" s="310"/>
      <c r="P36" s="310"/>
    </row>
    <row r="37" spans="3:16" s="29" customFormat="1">
      <c r="C37" s="300"/>
      <c r="D37" s="300"/>
      <c r="E37" s="300"/>
      <c r="F37" s="300"/>
      <c r="G37" s="300"/>
      <c r="H37" s="300"/>
      <c r="I37" s="300"/>
      <c r="J37" s="300"/>
      <c r="K37" s="300"/>
      <c r="L37" s="300"/>
      <c r="M37" s="300"/>
      <c r="N37" s="300"/>
      <c r="O37" s="310"/>
      <c r="P37" s="310"/>
    </row>
    <row r="38" spans="3:16" s="29" customFormat="1">
      <c r="C38" s="311"/>
      <c r="D38" s="311"/>
      <c r="E38" s="311"/>
      <c r="F38" s="311"/>
      <c r="G38" s="311"/>
      <c r="H38" s="311"/>
      <c r="I38" s="311"/>
      <c r="J38" s="311"/>
      <c r="K38" s="311"/>
      <c r="O38" s="310"/>
      <c r="P38" s="310"/>
    </row>
    <row r="39" spans="3:16" s="29" customFormat="1">
      <c r="O39" s="310"/>
      <c r="P39" s="310"/>
    </row>
    <row r="40" spans="3:16" s="29" customFormat="1">
      <c r="O40" s="310"/>
      <c r="P40" s="310"/>
    </row>
    <row r="41" spans="3:16" s="29" customFormat="1">
      <c r="O41" s="310"/>
      <c r="P41" s="310"/>
    </row>
    <row r="42" spans="3:16" s="29" customFormat="1">
      <c r="O42" s="310"/>
      <c r="P42" s="310"/>
    </row>
    <row r="43" spans="3:16" s="29" customFormat="1">
      <c r="O43" s="310"/>
      <c r="P43" s="310"/>
    </row>
    <row r="44" spans="3:16" s="29" customFormat="1">
      <c r="O44" s="310"/>
      <c r="P44" s="310"/>
    </row>
    <row r="45" spans="3:16" s="29" customFormat="1">
      <c r="O45" s="310"/>
      <c r="P45" s="310"/>
    </row>
    <row r="46" spans="3:16" s="29" customFormat="1" ht="18.600000000000001" customHeight="1">
      <c r="O46" s="310"/>
      <c r="P46" s="310"/>
    </row>
    <row r="47" spans="3:16" s="29" customFormat="1">
      <c r="O47" s="310"/>
      <c r="P47" s="310"/>
    </row>
    <row r="48" spans="3:16" s="29" customFormat="1">
      <c r="O48" s="310"/>
      <c r="P48" s="310"/>
    </row>
    <row r="49" spans="15:16" s="29" customFormat="1">
      <c r="O49" s="310"/>
      <c r="P49" s="310"/>
    </row>
    <row r="50" spans="15:16" s="29" customFormat="1">
      <c r="O50" s="310"/>
      <c r="P50" s="310"/>
    </row>
    <row r="51" spans="15:16" s="29" customFormat="1">
      <c r="O51" s="310"/>
      <c r="P51" s="310"/>
    </row>
    <row r="52" spans="15:16" s="29" customFormat="1">
      <c r="O52" s="310"/>
      <c r="P52" s="310"/>
    </row>
    <row r="53" spans="15:16" s="29" customFormat="1">
      <c r="O53" s="310"/>
      <c r="P53" s="310"/>
    </row>
    <row r="54" spans="15:16" s="29" customFormat="1">
      <c r="O54" s="310"/>
      <c r="P54" s="310"/>
    </row>
    <row r="55" spans="15:16" s="29" customFormat="1">
      <c r="O55" s="310"/>
      <c r="P55" s="310"/>
    </row>
    <row r="56" spans="15:16" s="29" customFormat="1">
      <c r="O56" s="310"/>
      <c r="P56" s="310"/>
    </row>
    <row r="57" spans="15:16" s="29" customFormat="1">
      <c r="O57" s="310"/>
      <c r="P57" s="310"/>
    </row>
    <row r="58" spans="15:16" s="29" customFormat="1">
      <c r="O58" s="310"/>
      <c r="P58" s="310"/>
    </row>
    <row r="59" spans="15:16" s="29" customFormat="1">
      <c r="O59" s="310"/>
      <c r="P59" s="310"/>
    </row>
    <row r="60" spans="15:16" s="29" customFormat="1">
      <c r="O60" s="310"/>
      <c r="P60" s="310"/>
    </row>
    <row r="61" spans="15:16" s="29" customFormat="1">
      <c r="O61" s="310"/>
      <c r="P61" s="310"/>
    </row>
    <row r="62" spans="15:16" s="29" customFormat="1">
      <c r="O62" s="310"/>
      <c r="P62" s="310"/>
    </row>
    <row r="63" spans="15:16" s="29" customFormat="1">
      <c r="O63" s="310"/>
      <c r="P63" s="310"/>
    </row>
    <row r="64" spans="15:16" s="29" customFormat="1">
      <c r="O64" s="310"/>
      <c r="P64" s="310"/>
    </row>
    <row r="65" spans="9:16" s="29" customFormat="1">
      <c r="O65" s="310"/>
      <c r="P65" s="310"/>
    </row>
    <row r="66" spans="9:16" s="29" customFormat="1">
      <c r="O66" s="310"/>
      <c r="P66" s="310"/>
    </row>
    <row r="67" spans="9:16" s="29" customFormat="1">
      <c r="O67" s="310"/>
      <c r="P67" s="310"/>
    </row>
    <row r="68" spans="9:16" s="29" customFormat="1">
      <c r="O68" s="310"/>
      <c r="P68" s="310"/>
    </row>
    <row r="69" spans="9:16" s="29" customFormat="1">
      <c r="I69" s="29">
        <v>79094</v>
      </c>
      <c r="O69" s="310"/>
      <c r="P69" s="310"/>
    </row>
    <row r="70" spans="9:16" s="29" customFormat="1">
      <c r="I70" s="29">
        <f>I68+I69-I65</f>
        <v>79094</v>
      </c>
      <c r="O70" s="310"/>
      <c r="P70" s="310"/>
    </row>
    <row r="71" spans="9:16" s="29" customFormat="1">
      <c r="O71" s="310"/>
      <c r="P71" s="310"/>
    </row>
    <row r="72" spans="9:16" s="29" customFormat="1">
      <c r="I72" s="29">
        <v>10481</v>
      </c>
      <c r="O72" s="310"/>
      <c r="P72" s="310"/>
    </row>
    <row r="73" spans="9:16" s="29" customFormat="1">
      <c r="O73" s="310"/>
      <c r="P73" s="310"/>
    </row>
    <row r="74" spans="9:16" s="29" customFormat="1">
      <c r="I74" s="29">
        <v>15189</v>
      </c>
      <c r="O74" s="310"/>
      <c r="P74" s="310"/>
    </row>
    <row r="75" spans="9:16" s="29" customFormat="1">
      <c r="O75" s="310"/>
      <c r="P75" s="310"/>
    </row>
    <row r="76" spans="9:16" s="29" customFormat="1">
      <c r="O76" s="310"/>
      <c r="P76" s="310"/>
    </row>
  </sheetData>
  <customSheetViews>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DA78CF1-615A-4626-9893-6751995631A4}" topLeftCell="B1">
      <selection activeCell="C32" sqref="C32"/>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topLeftCell="A16">
      <selection activeCell="A31" sqref="A31:XFD68"/>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99D69CD-4B7E-42BC-9944-5BD922EB798C}" topLeftCell="B16">
      <selection activeCell="D36" sqref="D3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9AF4A83C-CF57-4B40-8A74-6A0EA6C2FE5C}" topLeftCell="B4">
      <selection activeCell="B39" sqref="B39"/>
      <pageMargins left="0.78740157480314965" right="0.78740157480314965" top="0.98425196850393704" bottom="0.98425196850393704" header="0.51181102362204722" footer="0.51181102362204722"/>
      <pageSetup paperSize="9" scale="44" orientation="landscape" r:id="rId5"/>
      <headerFooter alignWithMargins="0"/>
    </customSheetView>
  </customSheetViews>
  <pageMargins left="0.78740157480314965" right="0.78740157480314965" top="0.98425196850393704" bottom="0.98425196850393704" header="0.51181102362204722" footer="0.51181102362204722"/>
  <pageSetup paperSize="9" scale="44" orientation="landscape" r:id="rId6"/>
  <headerFooter alignWithMargins="0"/>
  <ignoredErrors>
    <ignoredError sqref="C18:D1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I38" sqref="I38"/>
    </sheetView>
  </sheetViews>
  <sheetFormatPr defaultColWidth="9.140625" defaultRowHeight="12.75"/>
  <cols>
    <col min="1" max="1" width="33.28515625" style="100" customWidth="1"/>
    <col min="2" max="2" width="36.5703125" style="100" customWidth="1"/>
    <col min="3" max="10" width="13.42578125" style="100" customWidth="1"/>
    <col min="11" max="16384" width="9.140625" style="100"/>
  </cols>
  <sheetData>
    <row r="1" spans="1:11">
      <c r="A1" s="99" t="s">
        <v>315</v>
      </c>
      <c r="B1" s="99" t="s">
        <v>316</v>
      </c>
    </row>
    <row r="2" spans="1:11" ht="43.5" customHeight="1" thickBot="1">
      <c r="A2" s="101" t="s">
        <v>329</v>
      </c>
      <c r="B2" s="101" t="s">
        <v>330</v>
      </c>
      <c r="C2" s="102" t="s">
        <v>118</v>
      </c>
      <c r="D2" s="102" t="s">
        <v>136</v>
      </c>
      <c r="E2" s="102" t="s">
        <v>137</v>
      </c>
      <c r="F2" s="102" t="s">
        <v>146</v>
      </c>
      <c r="G2" s="102" t="s">
        <v>155</v>
      </c>
      <c r="H2" s="102" t="s">
        <v>598</v>
      </c>
      <c r="I2" s="102" t="s">
        <v>632</v>
      </c>
      <c r="J2" s="102" t="s">
        <v>639</v>
      </c>
    </row>
    <row r="3" spans="1:11" ht="15" customHeight="1">
      <c r="A3" s="392" t="s">
        <v>317</v>
      </c>
      <c r="B3" s="392" t="s">
        <v>318</v>
      </c>
      <c r="C3" s="385">
        <f t="shared" ref="C3:I3" si="0">SUM(C4:C7)</f>
        <v>0</v>
      </c>
      <c r="D3" s="385">
        <f t="shared" si="0"/>
        <v>-67</v>
      </c>
      <c r="E3" s="385">
        <f t="shared" si="0"/>
        <v>-4</v>
      </c>
      <c r="F3" s="385">
        <f t="shared" si="0"/>
        <v>5</v>
      </c>
      <c r="G3" s="385">
        <f t="shared" si="0"/>
        <v>0</v>
      </c>
      <c r="H3" s="385">
        <f t="shared" si="0"/>
        <v>-2</v>
      </c>
      <c r="I3" s="385">
        <f t="shared" si="0"/>
        <v>-1</v>
      </c>
      <c r="J3" s="385">
        <f t="shared" ref="J3" si="1">SUM(J4:J7)</f>
        <v>-25</v>
      </c>
    </row>
    <row r="4" spans="1:11" ht="15" customHeight="1">
      <c r="A4" s="389" t="s">
        <v>331</v>
      </c>
      <c r="B4" s="389" t="s">
        <v>325</v>
      </c>
      <c r="C4" s="386">
        <v>0</v>
      </c>
      <c r="D4" s="386">
        <v>-67</v>
      </c>
      <c r="E4" s="386">
        <v>-4</v>
      </c>
      <c r="F4" s="386">
        <v>5</v>
      </c>
      <c r="G4" s="386">
        <v>0</v>
      </c>
      <c r="H4" s="386">
        <v>-2</v>
      </c>
      <c r="I4" s="386">
        <v>-1</v>
      </c>
      <c r="J4" s="386">
        <v>-25</v>
      </c>
    </row>
    <row r="5" spans="1:11" ht="15" customHeight="1">
      <c r="A5" s="389" t="s">
        <v>332</v>
      </c>
      <c r="B5" s="389" t="s">
        <v>326</v>
      </c>
      <c r="C5" s="386">
        <v>0</v>
      </c>
      <c r="D5" s="386">
        <v>0</v>
      </c>
      <c r="E5" s="386">
        <v>0</v>
      </c>
      <c r="F5" s="386">
        <v>0</v>
      </c>
      <c r="G5" s="386">
        <v>0</v>
      </c>
      <c r="H5" s="386">
        <v>0</v>
      </c>
      <c r="I5" s="386">
        <v>0</v>
      </c>
      <c r="J5" s="386">
        <v>0</v>
      </c>
    </row>
    <row r="6" spans="1:11" ht="15" customHeight="1">
      <c r="A6" s="389" t="s">
        <v>333</v>
      </c>
      <c r="B6" s="389" t="s">
        <v>327</v>
      </c>
      <c r="C6" s="386">
        <v>0</v>
      </c>
      <c r="D6" s="386">
        <v>0</v>
      </c>
      <c r="E6" s="386">
        <v>0</v>
      </c>
      <c r="F6" s="386">
        <v>0</v>
      </c>
      <c r="G6" s="386">
        <v>0</v>
      </c>
      <c r="H6" s="386">
        <v>0</v>
      </c>
      <c r="I6" s="386">
        <v>0</v>
      </c>
      <c r="J6" s="386">
        <v>0</v>
      </c>
    </row>
    <row r="7" spans="1:11" ht="15" customHeight="1">
      <c r="A7" s="389" t="s">
        <v>328</v>
      </c>
      <c r="B7" s="389" t="s">
        <v>328</v>
      </c>
      <c r="C7" s="386">
        <v>0</v>
      </c>
      <c r="D7" s="386">
        <v>0</v>
      </c>
      <c r="E7" s="386">
        <v>0</v>
      </c>
      <c r="F7" s="386">
        <v>0</v>
      </c>
      <c r="G7" s="386">
        <v>0</v>
      </c>
      <c r="H7" s="386">
        <v>0</v>
      </c>
      <c r="I7" s="386">
        <v>0</v>
      </c>
      <c r="J7" s="386">
        <v>0</v>
      </c>
    </row>
    <row r="8" spans="1:11" ht="15" customHeight="1">
      <c r="A8" s="392" t="s">
        <v>319</v>
      </c>
      <c r="B8" s="392" t="s">
        <v>322</v>
      </c>
      <c r="C8" s="385">
        <f t="shared" ref="C8:I8" si="2">SUM(C9:C12)</f>
        <v>-218758</v>
      </c>
      <c r="D8" s="385">
        <f t="shared" si="2"/>
        <v>-260620</v>
      </c>
      <c r="E8" s="385">
        <f t="shared" si="2"/>
        <v>-244398</v>
      </c>
      <c r="F8" s="385">
        <f t="shared" si="2"/>
        <v>-365996</v>
      </c>
      <c r="G8" s="385">
        <f t="shared" si="2"/>
        <v>-280118</v>
      </c>
      <c r="H8" s="385">
        <f t="shared" si="2"/>
        <v>-366957</v>
      </c>
      <c r="I8" s="385">
        <f t="shared" si="2"/>
        <v>-323350</v>
      </c>
      <c r="J8" s="385">
        <f t="shared" ref="J8" si="3">SUM(J9:J12)</f>
        <v>-258576</v>
      </c>
      <c r="K8" s="186"/>
    </row>
    <row r="9" spans="1:11" s="107" customFormat="1" ht="15" customHeight="1">
      <c r="A9" s="389" t="s">
        <v>331</v>
      </c>
      <c r="B9" s="389" t="s">
        <v>325</v>
      </c>
      <c r="C9" s="386">
        <v>-18993</v>
      </c>
      <c r="D9" s="386">
        <v>-24151</v>
      </c>
      <c r="E9" s="386">
        <v>-38221</v>
      </c>
      <c r="F9" s="386">
        <v>-136336</v>
      </c>
      <c r="G9" s="386">
        <v>-16561</v>
      </c>
      <c r="H9" s="386">
        <v>-30145</v>
      </c>
      <c r="I9" s="386">
        <v>-44965</v>
      </c>
      <c r="J9" s="386">
        <v>-1695</v>
      </c>
      <c r="K9" s="186"/>
    </row>
    <row r="10" spans="1:11" s="107" customFormat="1" ht="15" customHeight="1">
      <c r="A10" s="389" t="s">
        <v>332</v>
      </c>
      <c r="B10" s="389" t="s">
        <v>326</v>
      </c>
      <c r="C10" s="386">
        <v>-60657</v>
      </c>
      <c r="D10" s="386">
        <v>-77190</v>
      </c>
      <c r="E10" s="386">
        <v>-91894</v>
      </c>
      <c r="F10" s="386">
        <v>-77906</v>
      </c>
      <c r="G10" s="386">
        <v>-47557</v>
      </c>
      <c r="H10" s="386">
        <v>-199036</v>
      </c>
      <c r="I10" s="386">
        <v>-125026</v>
      </c>
      <c r="J10" s="386">
        <v>-64382</v>
      </c>
      <c r="K10" s="186"/>
    </row>
    <row r="11" spans="1:11" s="107" customFormat="1" ht="15" customHeight="1">
      <c r="A11" s="389" t="s">
        <v>333</v>
      </c>
      <c r="B11" s="389" t="s">
        <v>327</v>
      </c>
      <c r="C11" s="386">
        <v>-148670</v>
      </c>
      <c r="D11" s="386">
        <v>-168756</v>
      </c>
      <c r="E11" s="386">
        <v>-161983</v>
      </c>
      <c r="F11" s="386">
        <f>-145686+1</f>
        <v>-145685</v>
      </c>
      <c r="G11" s="386">
        <v>-244530</v>
      </c>
      <c r="H11" s="386">
        <v>-148221</v>
      </c>
      <c r="I11" s="386">
        <v>-174146</v>
      </c>
      <c r="J11" s="386">
        <v>-205934</v>
      </c>
      <c r="K11" s="186"/>
    </row>
    <row r="12" spans="1:11" s="107" customFormat="1" ht="15" customHeight="1">
      <c r="A12" s="389" t="s">
        <v>328</v>
      </c>
      <c r="B12" s="389" t="s">
        <v>328</v>
      </c>
      <c r="C12" s="386">
        <v>9562</v>
      </c>
      <c r="D12" s="386">
        <v>9477</v>
      </c>
      <c r="E12" s="386">
        <v>47700</v>
      </c>
      <c r="F12" s="386">
        <v>-6069</v>
      </c>
      <c r="G12" s="386">
        <v>28530</v>
      </c>
      <c r="H12" s="386">
        <v>10445</v>
      </c>
      <c r="I12" s="386">
        <v>20787</v>
      </c>
      <c r="J12" s="386">
        <v>13435</v>
      </c>
      <c r="K12" s="186"/>
    </row>
    <row r="13" spans="1:11" ht="15" customHeight="1">
      <c r="A13" s="392" t="s">
        <v>320</v>
      </c>
      <c r="B13" s="392" t="s">
        <v>323</v>
      </c>
      <c r="C13" s="385">
        <f t="shared" ref="C13:I13" si="4">SUM(C14:C17)</f>
        <v>17680</v>
      </c>
      <c r="D13" s="385">
        <f t="shared" si="4"/>
        <v>-1272</v>
      </c>
      <c r="E13" s="385">
        <f t="shared" si="4"/>
        <v>-7722</v>
      </c>
      <c r="F13" s="385">
        <f t="shared" si="4"/>
        <v>3203</v>
      </c>
      <c r="G13" s="385">
        <f t="shared" si="4"/>
        <v>7442</v>
      </c>
      <c r="H13" s="385">
        <f t="shared" si="4"/>
        <v>-5847</v>
      </c>
      <c r="I13" s="385">
        <f t="shared" si="4"/>
        <v>-12115</v>
      </c>
      <c r="J13" s="385">
        <f t="shared" ref="J13" si="5">SUM(J14:J17)</f>
        <v>5347</v>
      </c>
      <c r="K13" s="186"/>
    </row>
    <row r="14" spans="1:11" s="107" customFormat="1" ht="15" customHeight="1">
      <c r="A14" s="389" t="s">
        <v>331</v>
      </c>
      <c r="B14" s="389" t="s">
        <v>325</v>
      </c>
      <c r="C14" s="386">
        <v>0</v>
      </c>
      <c r="D14" s="386">
        <v>0</v>
      </c>
      <c r="E14" s="386">
        <v>0</v>
      </c>
      <c r="F14" s="386">
        <v>0</v>
      </c>
      <c r="G14" s="386">
        <v>0</v>
      </c>
      <c r="H14" s="386">
        <v>0</v>
      </c>
      <c r="I14" s="386">
        <v>0</v>
      </c>
      <c r="J14" s="386">
        <v>0</v>
      </c>
      <c r="K14" s="186"/>
    </row>
    <row r="15" spans="1:11" s="107" customFormat="1" ht="15" customHeight="1">
      <c r="A15" s="389" t="s">
        <v>332</v>
      </c>
      <c r="B15" s="389" t="s">
        <v>326</v>
      </c>
      <c r="C15" s="386">
        <v>0</v>
      </c>
      <c r="D15" s="386">
        <v>0</v>
      </c>
      <c r="E15" s="386">
        <v>0</v>
      </c>
      <c r="F15" s="386">
        <v>0</v>
      </c>
      <c r="G15" s="386">
        <v>0</v>
      </c>
      <c r="H15" s="386">
        <v>0</v>
      </c>
      <c r="I15" s="386">
        <v>0</v>
      </c>
      <c r="J15" s="386">
        <v>0</v>
      </c>
      <c r="K15" s="186"/>
    </row>
    <row r="16" spans="1:11" s="107" customFormat="1" ht="15" customHeight="1">
      <c r="A16" s="389" t="s">
        <v>333</v>
      </c>
      <c r="B16" s="389" t="s">
        <v>327</v>
      </c>
      <c r="C16" s="386">
        <v>17680</v>
      </c>
      <c r="D16" s="386">
        <v>-1272</v>
      </c>
      <c r="E16" s="386">
        <v>-7722</v>
      </c>
      <c r="F16" s="386">
        <v>3203</v>
      </c>
      <c r="G16" s="386">
        <v>7442</v>
      </c>
      <c r="H16" s="386">
        <v>-5847</v>
      </c>
      <c r="I16" s="386">
        <v>-12115</v>
      </c>
      <c r="J16" s="386">
        <v>5347</v>
      </c>
      <c r="K16" s="186"/>
    </row>
    <row r="17" spans="1:11" s="107" customFormat="1" ht="15" customHeight="1">
      <c r="A17" s="389" t="s">
        <v>328</v>
      </c>
      <c r="B17" s="389" t="s">
        <v>328</v>
      </c>
      <c r="C17" s="386">
        <v>0</v>
      </c>
      <c r="D17" s="386">
        <v>0</v>
      </c>
      <c r="E17" s="386">
        <v>0</v>
      </c>
      <c r="F17" s="386">
        <v>0</v>
      </c>
      <c r="G17" s="386">
        <v>0</v>
      </c>
      <c r="H17" s="386">
        <v>0</v>
      </c>
      <c r="I17" s="386">
        <v>0</v>
      </c>
      <c r="J17" s="386">
        <v>0</v>
      </c>
      <c r="K17" s="186"/>
    </row>
    <row r="18" spans="1:11" ht="15" customHeight="1">
      <c r="A18" s="393" t="s">
        <v>321</v>
      </c>
      <c r="B18" s="392" t="s">
        <v>324</v>
      </c>
      <c r="C18" s="385">
        <f t="shared" ref="C18:I18" si="6">SUM(C19:C22)</f>
        <v>-2286</v>
      </c>
      <c r="D18" s="385">
        <f t="shared" si="6"/>
        <v>4083</v>
      </c>
      <c r="E18" s="385">
        <f t="shared" si="6"/>
        <v>-1541</v>
      </c>
      <c r="F18" s="385">
        <f t="shared" si="6"/>
        <v>-7375</v>
      </c>
      <c r="G18" s="385">
        <f t="shared" si="6"/>
        <v>9988</v>
      </c>
      <c r="H18" s="385">
        <f t="shared" si="6"/>
        <v>16248</v>
      </c>
      <c r="I18" s="385">
        <f t="shared" si="6"/>
        <v>-1090</v>
      </c>
      <c r="J18" s="385">
        <f t="shared" ref="J18" si="7">SUM(J19:J22)</f>
        <v>-10297</v>
      </c>
      <c r="K18" s="186"/>
    </row>
    <row r="19" spans="1:11" s="107" customFormat="1" ht="15" customHeight="1">
      <c r="A19" s="389" t="s">
        <v>331</v>
      </c>
      <c r="B19" s="389" t="s">
        <v>325</v>
      </c>
      <c r="C19" s="386">
        <v>-2540</v>
      </c>
      <c r="D19" s="386">
        <v>1976</v>
      </c>
      <c r="E19" s="386">
        <v>1293</v>
      </c>
      <c r="F19" s="386">
        <v>-5753</v>
      </c>
      <c r="G19" s="386">
        <v>2495</v>
      </c>
      <c r="H19" s="386">
        <v>13299</v>
      </c>
      <c r="I19" s="386">
        <v>1365</v>
      </c>
      <c r="J19" s="386">
        <v>-2513</v>
      </c>
      <c r="K19" s="186"/>
    </row>
    <row r="20" spans="1:11" s="107" customFormat="1" ht="15" customHeight="1">
      <c r="A20" s="389" t="s">
        <v>332</v>
      </c>
      <c r="B20" s="389" t="s">
        <v>326</v>
      </c>
      <c r="C20" s="386">
        <v>2111</v>
      </c>
      <c r="D20" s="386">
        <v>3344</v>
      </c>
      <c r="E20" s="386">
        <v>1988</v>
      </c>
      <c r="F20" s="386">
        <v>-2958</v>
      </c>
      <c r="G20" s="386">
        <v>2942</v>
      </c>
      <c r="H20" s="386">
        <v>388</v>
      </c>
      <c r="I20" s="386">
        <v>-670</v>
      </c>
      <c r="J20" s="386">
        <v>164</v>
      </c>
      <c r="K20" s="186"/>
    </row>
    <row r="21" spans="1:11" s="107" customFormat="1" ht="15" customHeight="1">
      <c r="A21" s="389" t="s">
        <v>333</v>
      </c>
      <c r="B21" s="389" t="s">
        <v>327</v>
      </c>
      <c r="C21" s="386">
        <v>-1857</v>
      </c>
      <c r="D21" s="386">
        <v>-1237</v>
      </c>
      <c r="E21" s="386">
        <v>-4822</v>
      </c>
      <c r="F21" s="386">
        <v>1336</v>
      </c>
      <c r="G21" s="386">
        <v>4551</v>
      </c>
      <c r="H21" s="386">
        <v>2561</v>
      </c>
      <c r="I21" s="386">
        <v>-1785</v>
      </c>
      <c r="J21" s="386">
        <v>-7948</v>
      </c>
      <c r="K21" s="186"/>
    </row>
    <row r="22" spans="1:11" s="107" customFormat="1" ht="15" customHeight="1">
      <c r="A22" s="390" t="s">
        <v>328</v>
      </c>
      <c r="B22" s="390" t="s">
        <v>328</v>
      </c>
      <c r="C22" s="387">
        <v>0</v>
      </c>
      <c r="D22" s="387">
        <v>0</v>
      </c>
      <c r="E22" s="386">
        <v>0</v>
      </c>
      <c r="F22" s="386">
        <v>0</v>
      </c>
      <c r="G22" s="387">
        <v>0</v>
      </c>
      <c r="H22" s="387">
        <v>0</v>
      </c>
      <c r="I22" s="387">
        <v>0</v>
      </c>
      <c r="J22" s="386">
        <v>0</v>
      </c>
      <c r="K22" s="186"/>
    </row>
    <row r="23" spans="1:11" s="113" customFormat="1" ht="15" customHeight="1">
      <c r="A23" s="391" t="s">
        <v>58</v>
      </c>
      <c r="B23" s="391" t="s">
        <v>43</v>
      </c>
      <c r="C23" s="388">
        <f t="shared" ref="C23:G23" si="8">SUM(C3,C8,C13,C18)</f>
        <v>-203364</v>
      </c>
      <c r="D23" s="388">
        <f>SUM(D3,D8,D13,D18)</f>
        <v>-257876</v>
      </c>
      <c r="E23" s="388">
        <f>SUM(E3,E8,E13,E18)</f>
        <v>-253665</v>
      </c>
      <c r="F23" s="388">
        <f>SUM(F3,F8,F13,F18)</f>
        <v>-370163</v>
      </c>
      <c r="G23" s="388">
        <f t="shared" si="8"/>
        <v>-262688</v>
      </c>
      <c r="H23" s="388">
        <f>SUM(H3,H8,H13,H18)</f>
        <v>-356558</v>
      </c>
      <c r="I23" s="388">
        <f>SUM(I3,I8,I13,I18)</f>
        <v>-336556</v>
      </c>
      <c r="J23" s="388">
        <f>SUM(J3,J8,J13,J18)</f>
        <v>-263551</v>
      </c>
      <c r="K23" s="186"/>
    </row>
    <row r="24" spans="1:11" s="306" customFormat="1">
      <c r="C24" s="303">
        <f>'P&amp;L'!G17-C23</f>
        <v>0</v>
      </c>
      <c r="D24" s="303">
        <f>'P&amp;L'!H17-D23</f>
        <v>0</v>
      </c>
      <c r="E24" s="303">
        <f>'P&amp;L'!I17-E23</f>
        <v>0</v>
      </c>
      <c r="F24" s="303"/>
      <c r="G24" s="303">
        <f>'P&amp;L'!K17-G23</f>
        <v>0</v>
      </c>
      <c r="H24" s="303">
        <f>'P&amp;L'!L17-H23</f>
        <v>0</v>
      </c>
      <c r="I24" s="303">
        <f>'P&amp;L'!M17-I23</f>
        <v>0</v>
      </c>
      <c r="J24" s="303">
        <f>'P&amp;L'!N17-J23</f>
        <v>0</v>
      </c>
    </row>
  </sheetData>
  <customSheetViews>
    <customSheetView guid="{25FAB884-5E17-4008-8139-33D910C7DEFE}">
      <selection activeCell="L27" sqref="L27"/>
      <pageMargins left="0.7" right="0.7" top="0.75" bottom="0.75" header="0.3" footer="0.3"/>
      <pageSetup paperSize="9" orientation="portrait" horizontalDpi="1200" verticalDpi="1200" r:id="rId1"/>
    </customSheetView>
    <customSheetView guid="{8DA78CF1-615A-4626-9893-6751995631A4}">
      <selection activeCell="H24" sqref="H24"/>
      <pageMargins left="0.7" right="0.7" top="0.75" bottom="0.75" header="0.3" footer="0.3"/>
    </customSheetView>
    <customSheetView guid="{687A4863-1825-4D63-B732-E76682E6DE4F}">
      <selection activeCell="H24" sqref="H24"/>
      <pageMargins left="0.7" right="0.7" top="0.75" bottom="0.75" header="0.3" footer="0.3"/>
    </customSheetView>
    <customSheetView guid="{899D69CD-4B7E-42BC-9944-5BD922EB798C}">
      <selection activeCell="B38" sqref="B38"/>
      <pageMargins left="0.7" right="0.7" top="0.75" bottom="0.75" header="0.3" footer="0.3"/>
      <pageSetup paperSize="9" orientation="portrait" horizontalDpi="1200" verticalDpi="1200" r:id="rId2"/>
    </customSheetView>
    <customSheetView guid="{9AF4A83C-CF57-4B40-8A74-6A0EA6C2FE5C}">
      <selection activeCell="I33" sqref="I33"/>
      <pageMargins left="0.7" right="0.7" top="0.75" bottom="0.75" header="0.3" footer="0.3"/>
    </customSheetView>
    <customSheetView guid="{57267270-6A97-4850-9DB6-FE6B399379AA}">
      <selection activeCell="D10" sqref="D10"/>
      <pageMargins left="0.7" right="0.7" top="0.75" bottom="0.75" header="0.3" footer="0.3"/>
    </customSheetView>
  </customSheetViews>
  <pageMargins left="0.7" right="0.7" top="0.75" bottom="0.75" header="0.3" footer="0.3"/>
  <pageSetup paperSize="9"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F36" sqref="F36"/>
    </sheetView>
  </sheetViews>
  <sheetFormatPr defaultRowHeight="15"/>
  <cols>
    <col min="1" max="2" width="50.7109375" customWidth="1"/>
    <col min="3" max="10" width="13.42578125" customWidth="1"/>
    <col min="11" max="11" width="13.42578125" style="197" customWidth="1"/>
    <col min="12" max="13" width="13.42578125" customWidth="1"/>
    <col min="14" max="14" width="13.42578125" style="197" customWidth="1"/>
  </cols>
  <sheetData>
    <row r="2" spans="1:14" ht="15" customHeight="1" thickBot="1">
      <c r="A2" s="64" t="s">
        <v>74</v>
      </c>
      <c r="B2" s="64" t="s">
        <v>29</v>
      </c>
      <c r="C2" s="71" t="s">
        <v>165</v>
      </c>
      <c r="D2" s="71" t="s">
        <v>166</v>
      </c>
      <c r="E2" s="71" t="s">
        <v>167</v>
      </c>
      <c r="F2" s="71" t="s">
        <v>168</v>
      </c>
      <c r="G2" s="71" t="s">
        <v>169</v>
      </c>
      <c r="H2" s="71" t="s">
        <v>170</v>
      </c>
      <c r="I2" s="71" t="s">
        <v>171</v>
      </c>
      <c r="J2" s="71" t="s">
        <v>172</v>
      </c>
      <c r="K2" s="204">
        <v>43555</v>
      </c>
      <c r="L2" s="204">
        <v>43646</v>
      </c>
      <c r="M2" s="204">
        <v>43738</v>
      </c>
      <c r="N2" s="204">
        <v>43830</v>
      </c>
    </row>
    <row r="3" spans="1:14" s="2" customFormat="1" ht="15" customHeight="1">
      <c r="A3" s="47" t="s">
        <v>290</v>
      </c>
      <c r="B3" s="47" t="s">
        <v>180</v>
      </c>
      <c r="C3" s="208">
        <f t="shared" ref="C3:K3" si="0">SUM(C4:C6)</f>
        <v>64290407</v>
      </c>
      <c r="D3" s="208">
        <f t="shared" si="0"/>
        <v>64704439</v>
      </c>
      <c r="E3" s="208">
        <f t="shared" si="0"/>
        <v>64467644</v>
      </c>
      <c r="F3" s="208">
        <f t="shared" si="0"/>
        <v>64987719</v>
      </c>
      <c r="G3" s="208">
        <f t="shared" si="0"/>
        <v>66073674</v>
      </c>
      <c r="H3" s="208">
        <f t="shared" si="0"/>
        <v>70021925</v>
      </c>
      <c r="I3" s="208">
        <f t="shared" si="0"/>
        <v>72689830</v>
      </c>
      <c r="J3" s="208">
        <f t="shared" si="0"/>
        <v>88211366</v>
      </c>
      <c r="K3" s="209">
        <f t="shared" si="0"/>
        <v>89183307</v>
      </c>
      <c r="L3" s="209">
        <f t="shared" ref="L3:M3" si="1">SUM(L4:L6)</f>
        <v>90496886</v>
      </c>
      <c r="M3" s="209">
        <f t="shared" si="1"/>
        <v>90362151</v>
      </c>
      <c r="N3" s="209">
        <f>N4+N5+N6</f>
        <v>91716261</v>
      </c>
    </row>
    <row r="4" spans="1:14" ht="15" customHeight="1">
      <c r="A4" s="66" t="s">
        <v>291</v>
      </c>
      <c r="B4" s="66" t="s">
        <v>181</v>
      </c>
      <c r="C4" s="70">
        <v>24166929</v>
      </c>
      <c r="D4" s="70">
        <v>23302583</v>
      </c>
      <c r="E4" s="70">
        <v>22826976</v>
      </c>
      <c r="F4" s="70">
        <v>21911544</v>
      </c>
      <c r="G4" s="70">
        <v>22422629</v>
      </c>
      <c r="H4" s="70">
        <v>25414208</v>
      </c>
      <c r="I4" s="70">
        <v>27585917</v>
      </c>
      <c r="J4" s="70">
        <v>32715078</v>
      </c>
      <c r="K4" s="206">
        <v>31969865</v>
      </c>
      <c r="L4" s="206">
        <v>31668319</v>
      </c>
      <c r="M4" s="206">
        <v>31030213</v>
      </c>
      <c r="N4" s="206">
        <v>29984379</v>
      </c>
    </row>
    <row r="5" spans="1:14" ht="15" customHeight="1">
      <c r="A5" s="66" t="s">
        <v>292</v>
      </c>
      <c r="B5" s="66" t="s">
        <v>182</v>
      </c>
      <c r="C5" s="70">
        <v>39939251</v>
      </c>
      <c r="D5" s="70">
        <v>41246523</v>
      </c>
      <c r="E5" s="70">
        <v>41468506</v>
      </c>
      <c r="F5" s="70">
        <v>42948226</v>
      </c>
      <c r="G5" s="70">
        <v>43484513</v>
      </c>
      <c r="H5" s="70">
        <v>44418447</v>
      </c>
      <c r="I5" s="70">
        <v>44943839</v>
      </c>
      <c r="J5" s="70">
        <v>55308995</v>
      </c>
      <c r="K5" s="206">
        <v>57018431</v>
      </c>
      <c r="L5" s="206">
        <v>58652428</v>
      </c>
      <c r="M5" s="206">
        <v>59144293</v>
      </c>
      <c r="N5" s="206">
        <v>61519766</v>
      </c>
    </row>
    <row r="6" spans="1:14" ht="15" customHeight="1">
      <c r="A6" s="66" t="s">
        <v>242</v>
      </c>
      <c r="B6" s="66" t="s">
        <v>184</v>
      </c>
      <c r="C6" s="70">
        <v>184227</v>
      </c>
      <c r="D6" s="70">
        <v>155333</v>
      </c>
      <c r="E6" s="70">
        <v>172162</v>
      </c>
      <c r="F6" s="70">
        <v>127949</v>
      </c>
      <c r="G6" s="70">
        <v>166532</v>
      </c>
      <c r="H6" s="70">
        <v>189270</v>
      </c>
      <c r="I6" s="70">
        <v>160074</v>
      </c>
      <c r="J6" s="70">
        <v>187293</v>
      </c>
      <c r="K6" s="206">
        <v>195011</v>
      </c>
      <c r="L6" s="206">
        <v>176139</v>
      </c>
      <c r="M6" s="206">
        <v>187645</v>
      </c>
      <c r="N6" s="206">
        <v>212116</v>
      </c>
    </row>
    <row r="7" spans="1:14" ht="15" customHeight="1">
      <c r="A7" s="65" t="s">
        <v>293</v>
      </c>
      <c r="B7" s="65" t="s">
        <v>185</v>
      </c>
      <c r="C7" s="69">
        <f t="shared" ref="C7:K7" si="2">C8+C9+C10+C11+C12</f>
        <v>40057684</v>
      </c>
      <c r="D7" s="69">
        <f t="shared" si="2"/>
        <v>39623549</v>
      </c>
      <c r="E7" s="69">
        <f t="shared" si="2"/>
        <v>41377787</v>
      </c>
      <c r="F7" s="69">
        <f t="shared" si="2"/>
        <v>42170092</v>
      </c>
      <c r="G7" s="69">
        <f t="shared" si="2"/>
        <v>42883938</v>
      </c>
      <c r="H7" s="69">
        <f t="shared" si="2"/>
        <v>46928557</v>
      </c>
      <c r="I7" s="69">
        <f t="shared" si="2"/>
        <v>47487051</v>
      </c>
      <c r="J7" s="69">
        <f t="shared" si="2"/>
        <v>57493542</v>
      </c>
      <c r="K7" s="205">
        <f t="shared" si="2"/>
        <v>54023921</v>
      </c>
      <c r="L7" s="205">
        <f t="shared" ref="L7:M7" si="3">L8+L9+L10+L11+L12</f>
        <v>54682108</v>
      </c>
      <c r="M7" s="205">
        <f t="shared" si="3"/>
        <v>55600095</v>
      </c>
      <c r="N7" s="205">
        <f>N8+N9+N10+N12</f>
        <v>60281335</v>
      </c>
    </row>
    <row r="8" spans="1:14" ht="15" customHeight="1">
      <c r="A8" s="66" t="s">
        <v>292</v>
      </c>
      <c r="B8" s="66" t="s">
        <v>182</v>
      </c>
      <c r="C8" s="70">
        <v>16291067</v>
      </c>
      <c r="D8" s="70">
        <v>16351904</v>
      </c>
      <c r="E8" s="70">
        <v>17380088</v>
      </c>
      <c r="F8" s="70">
        <v>20481778</v>
      </c>
      <c r="G8" s="70">
        <v>18959388</v>
      </c>
      <c r="H8" s="70">
        <v>19066669</v>
      </c>
      <c r="I8" s="70">
        <v>19886405</v>
      </c>
      <c r="J8" s="70">
        <v>27274603</v>
      </c>
      <c r="K8" s="206">
        <v>25645926</v>
      </c>
      <c r="L8" s="206">
        <v>25428773</v>
      </c>
      <c r="M8" s="206">
        <v>26388650</v>
      </c>
      <c r="N8" s="206">
        <v>32054525</v>
      </c>
    </row>
    <row r="9" spans="1:14" ht="15" customHeight="1">
      <c r="A9" s="66" t="s">
        <v>291</v>
      </c>
      <c r="B9" s="66" t="s">
        <v>181</v>
      </c>
      <c r="C9" s="70">
        <v>19197466</v>
      </c>
      <c r="D9" s="70">
        <v>18941033</v>
      </c>
      <c r="E9" s="70">
        <v>19519392</v>
      </c>
      <c r="F9" s="70">
        <v>17486056</v>
      </c>
      <c r="G9" s="70">
        <v>19366894</v>
      </c>
      <c r="H9" s="70">
        <v>22805832</v>
      </c>
      <c r="I9" s="70">
        <v>23023715</v>
      </c>
      <c r="J9" s="70">
        <v>24690631</v>
      </c>
      <c r="K9" s="206">
        <v>22830997</v>
      </c>
      <c r="L9" s="206">
        <v>23503813</v>
      </c>
      <c r="M9" s="206">
        <v>23627913</v>
      </c>
      <c r="N9" s="206">
        <v>23656190</v>
      </c>
    </row>
    <row r="10" spans="1:14" ht="15" customHeight="1">
      <c r="A10" s="66" t="s">
        <v>294</v>
      </c>
      <c r="B10" s="66" t="s">
        <v>186</v>
      </c>
      <c r="C10" s="70">
        <v>3891725</v>
      </c>
      <c r="D10" s="70">
        <v>3576636</v>
      </c>
      <c r="E10" s="70">
        <v>3723683</v>
      </c>
      <c r="F10" s="70">
        <v>3552388</v>
      </c>
      <c r="G10" s="70">
        <v>3736007</v>
      </c>
      <c r="H10" s="70">
        <v>4122912</v>
      </c>
      <c r="I10" s="70">
        <v>3800738</v>
      </c>
      <c r="J10" s="70">
        <v>4751949</v>
      </c>
      <c r="K10" s="206">
        <v>4693277</v>
      </c>
      <c r="L10" s="206">
        <v>4739342</v>
      </c>
      <c r="M10" s="206">
        <v>4550174</v>
      </c>
      <c r="N10" s="206">
        <v>3536953</v>
      </c>
    </row>
    <row r="11" spans="1:14" ht="15" customHeight="1">
      <c r="A11" s="66" t="s">
        <v>295</v>
      </c>
      <c r="B11" s="66" t="s">
        <v>183</v>
      </c>
      <c r="C11" s="70">
        <v>0</v>
      </c>
      <c r="D11" s="70">
        <v>0</v>
      </c>
      <c r="E11" s="70">
        <v>0</v>
      </c>
      <c r="F11" s="70">
        <v>0</v>
      </c>
      <c r="G11" s="70">
        <v>0</v>
      </c>
      <c r="H11" s="70">
        <v>0</v>
      </c>
      <c r="I11" s="70">
        <v>0</v>
      </c>
      <c r="J11" s="70">
        <v>0</v>
      </c>
      <c r="K11" s="206">
        <v>0</v>
      </c>
      <c r="L11" s="206">
        <v>0</v>
      </c>
      <c r="M11" s="206">
        <v>0</v>
      </c>
      <c r="N11" s="206">
        <v>0</v>
      </c>
    </row>
    <row r="12" spans="1:14" ht="15" customHeight="1">
      <c r="A12" s="66" t="s">
        <v>242</v>
      </c>
      <c r="B12" s="66" t="s">
        <v>184</v>
      </c>
      <c r="C12" s="70">
        <v>677426</v>
      </c>
      <c r="D12" s="70">
        <v>753976</v>
      </c>
      <c r="E12" s="70">
        <v>754624</v>
      </c>
      <c r="F12" s="70">
        <v>649870</v>
      </c>
      <c r="G12" s="70">
        <v>821649</v>
      </c>
      <c r="H12" s="70">
        <v>933144</v>
      </c>
      <c r="I12" s="70">
        <v>776193</v>
      </c>
      <c r="J12" s="70">
        <v>776359</v>
      </c>
      <c r="K12" s="206">
        <v>853721</v>
      </c>
      <c r="L12" s="206">
        <v>1010180</v>
      </c>
      <c r="M12" s="206">
        <v>1033358</v>
      </c>
      <c r="N12" s="206">
        <v>1033667</v>
      </c>
    </row>
    <row r="13" spans="1:14" ht="15" customHeight="1">
      <c r="A13" s="65" t="s">
        <v>296</v>
      </c>
      <c r="B13" s="65" t="s">
        <v>187</v>
      </c>
      <c r="C13" s="69">
        <f t="shared" ref="C13:K13" si="4">SUM(C14:C16)</f>
        <v>4104350</v>
      </c>
      <c r="D13" s="69">
        <f t="shared" si="4"/>
        <v>4783171</v>
      </c>
      <c r="E13" s="69">
        <f t="shared" si="4"/>
        <v>5177348</v>
      </c>
      <c r="F13" s="69">
        <f t="shared" si="4"/>
        <v>4323324</v>
      </c>
      <c r="G13" s="69">
        <f t="shared" si="4"/>
        <v>4618970</v>
      </c>
      <c r="H13" s="69">
        <f t="shared" si="4"/>
        <v>5073833</v>
      </c>
      <c r="I13" s="69">
        <f t="shared" si="4"/>
        <v>4452307</v>
      </c>
      <c r="J13" s="69">
        <f t="shared" si="4"/>
        <v>3911750</v>
      </c>
      <c r="K13" s="205">
        <f t="shared" si="4"/>
        <v>4538626</v>
      </c>
      <c r="L13" s="205">
        <f t="shared" ref="L13:M13" si="5">SUM(L14:L16)</f>
        <v>4496454</v>
      </c>
      <c r="M13" s="205">
        <f t="shared" si="5"/>
        <v>5064431</v>
      </c>
      <c r="N13" s="205">
        <f>N14+N15+N16</f>
        <v>4482747</v>
      </c>
    </row>
    <row r="14" spans="1:14" ht="15" customHeight="1">
      <c r="A14" s="66" t="s">
        <v>292</v>
      </c>
      <c r="B14" s="66" t="s">
        <v>182</v>
      </c>
      <c r="C14" s="70">
        <v>1746282</v>
      </c>
      <c r="D14" s="70">
        <v>1865859</v>
      </c>
      <c r="E14" s="70">
        <v>2166942</v>
      </c>
      <c r="F14" s="70">
        <v>2233410</v>
      </c>
      <c r="G14" s="70">
        <v>1998912</v>
      </c>
      <c r="H14" s="70">
        <v>2088270</v>
      </c>
      <c r="I14" s="70">
        <v>2246004</v>
      </c>
      <c r="J14" s="70">
        <v>2617635</v>
      </c>
      <c r="K14" s="206">
        <v>3282514</v>
      </c>
      <c r="L14" s="206">
        <v>3431396</v>
      </c>
      <c r="M14" s="206">
        <v>3560198</v>
      </c>
      <c r="N14" s="206">
        <v>3732587</v>
      </c>
    </row>
    <row r="15" spans="1:14" ht="15" customHeight="1">
      <c r="A15" s="66" t="s">
        <v>291</v>
      </c>
      <c r="B15" s="66" t="s">
        <v>181</v>
      </c>
      <c r="C15" s="70">
        <v>2354035</v>
      </c>
      <c r="D15" s="70">
        <v>2888521</v>
      </c>
      <c r="E15" s="70">
        <v>3006372</v>
      </c>
      <c r="F15" s="70">
        <v>2085917</v>
      </c>
      <c r="G15" s="70">
        <v>2616059</v>
      </c>
      <c r="H15" s="70">
        <v>2981535</v>
      </c>
      <c r="I15" s="70">
        <v>2202288</v>
      </c>
      <c r="J15" s="70">
        <v>1290086</v>
      </c>
      <c r="K15" s="206">
        <v>1255923</v>
      </c>
      <c r="L15" s="206">
        <v>1065014</v>
      </c>
      <c r="M15" s="206">
        <v>1504155</v>
      </c>
      <c r="N15" s="206">
        <v>750095</v>
      </c>
    </row>
    <row r="16" spans="1:14" ht="15" customHeight="1">
      <c r="A16" s="66" t="s">
        <v>242</v>
      </c>
      <c r="B16" s="66" t="s">
        <v>184</v>
      </c>
      <c r="C16" s="70">
        <v>4033</v>
      </c>
      <c r="D16" s="70">
        <v>28791</v>
      </c>
      <c r="E16" s="70">
        <v>4034</v>
      </c>
      <c r="F16" s="70">
        <v>3997</v>
      </c>
      <c r="G16" s="70">
        <v>3999</v>
      </c>
      <c r="H16" s="70">
        <v>4028</v>
      </c>
      <c r="I16" s="70">
        <v>4015</v>
      </c>
      <c r="J16" s="70">
        <v>4029</v>
      </c>
      <c r="K16" s="206">
        <v>189</v>
      </c>
      <c r="L16" s="206">
        <v>44</v>
      </c>
      <c r="M16" s="206">
        <v>78</v>
      </c>
      <c r="N16" s="206">
        <v>65</v>
      </c>
    </row>
    <row r="17" spans="1:14" ht="15" customHeight="1">
      <c r="A17" s="67" t="s">
        <v>58</v>
      </c>
      <c r="B17" s="67" t="s">
        <v>188</v>
      </c>
      <c r="C17" s="68">
        <f t="shared" ref="C17:K17" si="6">C3+C7+C13</f>
        <v>108452441</v>
      </c>
      <c r="D17" s="68">
        <f t="shared" si="6"/>
        <v>109111159</v>
      </c>
      <c r="E17" s="68">
        <f t="shared" si="6"/>
        <v>111022779</v>
      </c>
      <c r="F17" s="68">
        <f t="shared" si="6"/>
        <v>111481135</v>
      </c>
      <c r="G17" s="68">
        <f t="shared" si="6"/>
        <v>113576582</v>
      </c>
      <c r="H17" s="68">
        <f t="shared" si="6"/>
        <v>122024315</v>
      </c>
      <c r="I17" s="68">
        <f t="shared" si="6"/>
        <v>124629188</v>
      </c>
      <c r="J17" s="68">
        <f t="shared" si="6"/>
        <v>149616658</v>
      </c>
      <c r="K17" s="207">
        <f t="shared" si="6"/>
        <v>147745854</v>
      </c>
      <c r="L17" s="207">
        <f t="shared" ref="L17:M17" si="7">L3+L7+L13</f>
        <v>149675448</v>
      </c>
      <c r="M17" s="207">
        <f t="shared" si="7"/>
        <v>151026677</v>
      </c>
      <c r="N17" s="207">
        <f>N13+N7+N3</f>
        <v>156480343</v>
      </c>
    </row>
    <row r="19" spans="1:14">
      <c r="B19" s="290"/>
      <c r="C19" s="288"/>
      <c r="D19" s="288"/>
      <c r="E19" s="288"/>
      <c r="F19" s="288"/>
      <c r="G19" s="288"/>
      <c r="H19" s="288"/>
      <c r="I19" s="288"/>
      <c r="J19" s="288"/>
      <c r="K19" s="288"/>
      <c r="L19" s="288"/>
      <c r="N19" s="329"/>
    </row>
    <row r="20" spans="1:14">
      <c r="C20" s="289"/>
      <c r="D20" s="289"/>
      <c r="E20" s="289"/>
      <c r="F20" s="289"/>
      <c r="G20" s="289"/>
      <c r="H20" s="289"/>
      <c r="I20" s="289"/>
      <c r="J20" s="289"/>
      <c r="K20" s="289"/>
      <c r="L20" s="289"/>
      <c r="N20" s="330"/>
    </row>
    <row r="21" spans="1:14" s="3" customFormat="1">
      <c r="K21" s="197"/>
      <c r="N21" s="197"/>
    </row>
    <row r="23" spans="1:14">
      <c r="N23" s="330"/>
    </row>
    <row r="24" spans="1:14" s="3" customFormat="1">
      <c r="K24" s="197"/>
      <c r="N24" s="330"/>
    </row>
    <row r="25" spans="1:14" s="3" customFormat="1">
      <c r="K25" s="197"/>
      <c r="N25" s="330"/>
    </row>
  </sheetData>
  <customSheetViews>
    <customSheetView guid="{25FAB884-5E17-4008-8139-33D910C7DEFE}">
      <selection activeCell="H37" sqref="H37"/>
      <pageMargins left="0.7" right="0.7" top="0.75" bottom="0.75" header="0.3" footer="0.3"/>
      <pageSetup paperSize="9" orientation="portrait" r:id="rId1"/>
    </customSheetView>
    <customSheetView guid="{8DA78CF1-615A-4626-9893-6751995631A4}" topLeftCell="B1">
      <selection activeCell="I24" sqref="I24"/>
      <pageMargins left="0.7" right="0.7" top="0.75" bottom="0.75" header="0.3" footer="0.3"/>
    </customSheetView>
    <customSheetView guid="{687A4863-1825-4D63-B732-E76682E6DE4F}" showGridLines="0" topLeftCell="G1">
      <selection activeCell="G18" sqref="A18:XFD122"/>
      <pageMargins left="0.7" right="0.7" top="0.75" bottom="0.75" header="0.3" footer="0.3"/>
      <pageSetup paperSize="9" orientation="portrait" r:id="rId2"/>
    </customSheetView>
    <customSheetView guid="{899D69CD-4B7E-42BC-9944-5BD922EB798C}">
      <selection activeCell="A25" sqref="A25"/>
      <pageMargins left="0.7" right="0.7" top="0.75" bottom="0.75" header="0.3" footer="0.3"/>
      <pageSetup paperSize="9" orientation="portrait" r:id="rId3"/>
    </customSheetView>
    <customSheetView guid="{9AF4A83C-CF57-4B40-8A74-6A0EA6C2FE5C}">
      <selection activeCell="A25" sqref="A25"/>
      <pageMargins left="0.7" right="0.7" top="0.75" bottom="0.75" header="0.3" footer="0.3"/>
    </customSheetView>
    <customSheetView guid="{57267270-6A97-4850-9DB6-FE6B399379AA}" topLeftCell="B1">
      <selection activeCell="O15" sqref="O15"/>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4"/>
    </customSheetView>
  </customSheetView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workbookViewId="0">
      <selection activeCell="I37" sqref="I37"/>
    </sheetView>
  </sheetViews>
  <sheetFormatPr defaultColWidth="9.140625" defaultRowHeight="12.75"/>
  <cols>
    <col min="1" max="2" width="30.7109375" style="100" customWidth="1"/>
    <col min="3" max="14" width="13.42578125" style="100" customWidth="1"/>
    <col min="15" max="18" width="9.140625" style="161" customWidth="1"/>
    <col min="19" max="16384" width="9.140625" style="100"/>
  </cols>
  <sheetData>
    <row r="1" spans="1:18" ht="36.6" customHeight="1" thickBot="1">
      <c r="A1" s="64" t="s">
        <v>62</v>
      </c>
      <c r="B1" s="64" t="s">
        <v>17</v>
      </c>
      <c r="C1" s="150">
        <v>42825</v>
      </c>
      <c r="D1" s="150">
        <v>42916</v>
      </c>
      <c r="E1" s="150">
        <v>43008</v>
      </c>
      <c r="F1" s="150">
        <v>43100</v>
      </c>
      <c r="G1" s="150">
        <v>43190</v>
      </c>
      <c r="H1" s="150">
        <v>43281</v>
      </c>
      <c r="I1" s="150">
        <v>43373</v>
      </c>
      <c r="J1" s="150">
        <v>43465</v>
      </c>
      <c r="K1" s="150">
        <v>43555</v>
      </c>
      <c r="L1" s="150">
        <v>43646</v>
      </c>
      <c r="M1" s="150">
        <v>43738</v>
      </c>
      <c r="N1" s="150">
        <v>43830</v>
      </c>
    </row>
    <row r="2" spans="1:18" ht="15" customHeight="1">
      <c r="A2" s="152" t="s">
        <v>394</v>
      </c>
      <c r="B2" s="153" t="s">
        <v>397</v>
      </c>
      <c r="C2" s="154">
        <v>619378</v>
      </c>
      <c r="D2" s="154">
        <v>7534</v>
      </c>
      <c r="E2" s="154">
        <v>504264</v>
      </c>
      <c r="F2" s="154">
        <v>850541</v>
      </c>
      <c r="G2" s="154">
        <v>356604</v>
      </c>
      <c r="H2" s="154">
        <v>10134</v>
      </c>
      <c r="I2" s="154">
        <v>138554</v>
      </c>
      <c r="J2" s="154">
        <v>1159923</v>
      </c>
      <c r="K2" s="154">
        <v>107319</v>
      </c>
      <c r="L2" s="293">
        <v>322868</v>
      </c>
      <c r="M2" s="293">
        <v>284342</v>
      </c>
      <c r="N2" s="293">
        <v>2115445</v>
      </c>
    </row>
    <row r="3" spans="1:18" ht="15" customHeight="1">
      <c r="A3" s="152" t="s">
        <v>395</v>
      </c>
      <c r="B3" s="153" t="s">
        <v>398</v>
      </c>
      <c r="C3" s="154">
        <v>1998736</v>
      </c>
      <c r="D3" s="154">
        <v>1863219</v>
      </c>
      <c r="E3" s="154">
        <v>1674779</v>
      </c>
      <c r="F3" s="154">
        <v>1285933</v>
      </c>
      <c r="G3" s="154">
        <v>1453995</v>
      </c>
      <c r="H3" s="154">
        <v>1694468</v>
      </c>
      <c r="I3" s="154">
        <v>1605492</v>
      </c>
      <c r="J3" s="154">
        <v>1776358</v>
      </c>
      <c r="K3" s="154">
        <v>1593325</v>
      </c>
      <c r="L3" s="293">
        <v>1988052</v>
      </c>
      <c r="M3" s="293">
        <v>2481925</v>
      </c>
      <c r="N3" s="293">
        <v>1601232</v>
      </c>
    </row>
    <row r="4" spans="1:18" s="1" customFormat="1" ht="15" customHeight="1">
      <c r="A4" s="155" t="s">
        <v>288</v>
      </c>
      <c r="B4" s="156" t="s">
        <v>178</v>
      </c>
      <c r="C4" s="157">
        <f>SUM(C2:C3)</f>
        <v>2618114</v>
      </c>
      <c r="D4" s="157">
        <f t="shared" ref="D4:L4" si="0">SUM(D2:D3)</f>
        <v>1870753</v>
      </c>
      <c r="E4" s="157">
        <f t="shared" si="0"/>
        <v>2179043</v>
      </c>
      <c r="F4" s="157">
        <f t="shared" si="0"/>
        <v>2136474</v>
      </c>
      <c r="G4" s="157">
        <f t="shared" si="0"/>
        <v>1810599</v>
      </c>
      <c r="H4" s="157">
        <f t="shared" si="0"/>
        <v>1704602</v>
      </c>
      <c r="I4" s="157">
        <f t="shared" si="0"/>
        <v>1744046</v>
      </c>
      <c r="J4" s="157">
        <f t="shared" si="0"/>
        <v>2936281</v>
      </c>
      <c r="K4" s="157">
        <f t="shared" si="0"/>
        <v>1700644</v>
      </c>
      <c r="L4" s="209">
        <f t="shared" si="0"/>
        <v>2310920</v>
      </c>
      <c r="M4" s="209">
        <f>SUM(M2:M3)</f>
        <v>2766267</v>
      </c>
      <c r="N4" s="209">
        <f>SUM(N2:N3)</f>
        <v>3716677</v>
      </c>
      <c r="O4" s="395"/>
      <c r="P4" s="395"/>
      <c r="Q4" s="395"/>
      <c r="R4" s="395"/>
    </row>
    <row r="5" spans="1:18" ht="15" customHeight="1">
      <c r="A5" s="152" t="s">
        <v>396</v>
      </c>
      <c r="B5" s="153" t="s">
        <v>399</v>
      </c>
      <c r="C5" s="154">
        <v>0</v>
      </c>
      <c r="D5" s="154">
        <v>0</v>
      </c>
      <c r="E5" s="154">
        <v>0</v>
      </c>
      <c r="F5" s="154">
        <v>0</v>
      </c>
      <c r="G5" s="154">
        <v>0</v>
      </c>
      <c r="H5" s="154">
        <v>-67</v>
      </c>
      <c r="I5" s="154">
        <v>-71</v>
      </c>
      <c r="J5" s="154">
        <v>-67</v>
      </c>
      <c r="K5" s="154">
        <v>-67</v>
      </c>
      <c r="L5" s="293">
        <v>-84</v>
      </c>
      <c r="M5" s="293">
        <v>-86</v>
      </c>
      <c r="N5" s="293">
        <v>-95</v>
      </c>
    </row>
    <row r="6" spans="1:18" s="1" customFormat="1" ht="15" customHeight="1">
      <c r="A6" s="94" t="s">
        <v>58</v>
      </c>
      <c r="B6" s="94" t="s">
        <v>43</v>
      </c>
      <c r="C6" s="95">
        <f>SUM(C4:C5)</f>
        <v>2618114</v>
      </c>
      <c r="D6" s="95">
        <f t="shared" ref="D6:L6" si="1">SUM(D4:D5)</f>
        <v>1870753</v>
      </c>
      <c r="E6" s="95">
        <f t="shared" si="1"/>
        <v>2179043</v>
      </c>
      <c r="F6" s="95">
        <f t="shared" si="1"/>
        <v>2136474</v>
      </c>
      <c r="G6" s="95">
        <f t="shared" si="1"/>
        <v>1810599</v>
      </c>
      <c r="H6" s="95">
        <f t="shared" si="1"/>
        <v>1704535</v>
      </c>
      <c r="I6" s="95">
        <f t="shared" si="1"/>
        <v>1743975</v>
      </c>
      <c r="J6" s="95">
        <f t="shared" si="1"/>
        <v>2936214</v>
      </c>
      <c r="K6" s="95">
        <f t="shared" si="1"/>
        <v>1700577</v>
      </c>
      <c r="L6" s="51">
        <f t="shared" si="1"/>
        <v>2310836</v>
      </c>
      <c r="M6" s="51">
        <f>SUM(M4:M5)</f>
        <v>2766181</v>
      </c>
      <c r="N6" s="51">
        <f>SUM(N4:N5)</f>
        <v>3716582</v>
      </c>
      <c r="O6" s="395"/>
      <c r="P6" s="395"/>
      <c r="Q6" s="395"/>
      <c r="R6" s="395"/>
    </row>
    <row r="7" spans="1:18" s="161" customFormat="1" ht="15" customHeight="1">
      <c r="A7" s="158"/>
      <c r="B7" s="159"/>
      <c r="C7" s="160"/>
      <c r="D7" s="160"/>
      <c r="E7" s="160"/>
      <c r="F7" s="160"/>
      <c r="G7" s="160"/>
      <c r="H7" s="160"/>
      <c r="I7" s="160"/>
      <c r="J7" s="160"/>
      <c r="K7" s="160"/>
      <c r="L7" s="294"/>
      <c r="M7" s="294"/>
      <c r="N7" s="394"/>
    </row>
    <row r="8" spans="1:18" ht="15" customHeight="1" thickBot="1">
      <c r="A8" s="64" t="s">
        <v>73</v>
      </c>
      <c r="B8" s="64" t="s">
        <v>27</v>
      </c>
      <c r="C8" s="150">
        <f>C1</f>
        <v>42825</v>
      </c>
      <c r="D8" s="150">
        <f t="shared" ref="D8:L8" si="2">D1</f>
        <v>42916</v>
      </c>
      <c r="E8" s="150">
        <f t="shared" si="2"/>
        <v>43008</v>
      </c>
      <c r="F8" s="150">
        <f t="shared" si="2"/>
        <v>43100</v>
      </c>
      <c r="G8" s="150">
        <f t="shared" si="2"/>
        <v>43190</v>
      </c>
      <c r="H8" s="150">
        <f t="shared" si="2"/>
        <v>43281</v>
      </c>
      <c r="I8" s="150">
        <f t="shared" si="2"/>
        <v>43373</v>
      </c>
      <c r="J8" s="150">
        <f t="shared" si="2"/>
        <v>43465</v>
      </c>
      <c r="K8" s="150">
        <f t="shared" si="2"/>
        <v>43555</v>
      </c>
      <c r="L8" s="295">
        <f t="shared" si="2"/>
        <v>43646</v>
      </c>
      <c r="M8" s="295">
        <f>M1</f>
        <v>43738</v>
      </c>
      <c r="N8" s="295">
        <f>N1</f>
        <v>43830</v>
      </c>
    </row>
    <row r="9" spans="1:18" ht="15" customHeight="1">
      <c r="A9" s="152" t="s">
        <v>400</v>
      </c>
      <c r="B9" s="153" t="s">
        <v>402</v>
      </c>
      <c r="C9" s="154">
        <v>48352</v>
      </c>
      <c r="D9" s="154">
        <v>85606</v>
      </c>
      <c r="E9" s="154">
        <v>83774</v>
      </c>
      <c r="F9" s="154">
        <v>64023</v>
      </c>
      <c r="G9" s="154">
        <v>646732</v>
      </c>
      <c r="H9" s="154">
        <v>203110</v>
      </c>
      <c r="I9" s="154">
        <v>162144</v>
      </c>
      <c r="J9" s="154">
        <v>144906</v>
      </c>
      <c r="K9" s="154">
        <v>173553</v>
      </c>
      <c r="L9" s="293">
        <v>459178</v>
      </c>
      <c r="M9" s="293">
        <v>422961</v>
      </c>
      <c r="N9" s="293">
        <v>468294</v>
      </c>
    </row>
    <row r="10" spans="1:18" ht="15" customHeight="1">
      <c r="A10" s="152" t="s">
        <v>401</v>
      </c>
      <c r="B10" s="153" t="s">
        <v>403</v>
      </c>
      <c r="C10" s="154">
        <v>2015734</v>
      </c>
      <c r="D10" s="154">
        <v>1899123</v>
      </c>
      <c r="E10" s="154">
        <v>2003051</v>
      </c>
      <c r="F10" s="154">
        <v>1994759</v>
      </c>
      <c r="G10" s="154">
        <v>1778399</v>
      </c>
      <c r="H10" s="154">
        <v>1946265</v>
      </c>
      <c r="I10" s="154">
        <v>2322750</v>
      </c>
      <c r="J10" s="154">
        <v>1733724</v>
      </c>
      <c r="K10" s="154">
        <v>1743771</v>
      </c>
      <c r="L10" s="293">
        <v>2003749</v>
      </c>
      <c r="M10" s="293">
        <v>2264498</v>
      </c>
      <c r="N10" s="293">
        <v>3213874</v>
      </c>
    </row>
    <row r="11" spans="1:18" ht="15" customHeight="1">
      <c r="A11" s="152" t="s">
        <v>395</v>
      </c>
      <c r="B11" s="153" t="s">
        <v>398</v>
      </c>
      <c r="C11" s="154">
        <v>571522</v>
      </c>
      <c r="D11" s="154">
        <v>606878</v>
      </c>
      <c r="E11" s="154">
        <v>643656</v>
      </c>
      <c r="F11" s="154">
        <v>724301</v>
      </c>
      <c r="G11" s="154">
        <v>1412959</v>
      </c>
      <c r="H11" s="154">
        <v>1103211</v>
      </c>
      <c r="I11" s="154">
        <v>1161139</v>
      </c>
      <c r="J11" s="154">
        <v>954298</v>
      </c>
      <c r="K11" s="154">
        <v>1082645</v>
      </c>
      <c r="L11" s="293">
        <v>993407</v>
      </c>
      <c r="M11" s="293">
        <v>1309735</v>
      </c>
      <c r="N11" s="293">
        <v>1349576</v>
      </c>
    </row>
    <row r="12" spans="1:18" s="1" customFormat="1" ht="15" customHeight="1">
      <c r="A12" s="94" t="s">
        <v>58</v>
      </c>
      <c r="B12" s="94" t="s">
        <v>43</v>
      </c>
      <c r="C12" s="95">
        <f>SUM(C9:C11)</f>
        <v>2635608</v>
      </c>
      <c r="D12" s="95">
        <f t="shared" ref="D12:L12" si="3">SUM(D9:D11)</f>
        <v>2591607</v>
      </c>
      <c r="E12" s="95">
        <f t="shared" si="3"/>
        <v>2730481</v>
      </c>
      <c r="F12" s="95">
        <f t="shared" si="3"/>
        <v>2783083</v>
      </c>
      <c r="G12" s="95">
        <f t="shared" si="3"/>
        <v>3838090</v>
      </c>
      <c r="H12" s="95">
        <f t="shared" si="3"/>
        <v>3252586</v>
      </c>
      <c r="I12" s="95">
        <f t="shared" si="3"/>
        <v>3646033</v>
      </c>
      <c r="J12" s="95">
        <f t="shared" si="3"/>
        <v>2832928</v>
      </c>
      <c r="K12" s="95">
        <f t="shared" si="3"/>
        <v>2999969</v>
      </c>
      <c r="L12" s="51">
        <f t="shared" si="3"/>
        <v>3456334</v>
      </c>
      <c r="M12" s="51">
        <f>SUM(M9:M11)</f>
        <v>3997194</v>
      </c>
      <c r="N12" s="51">
        <f>SUM(N9:N11)</f>
        <v>5031744</v>
      </c>
      <c r="O12" s="395"/>
      <c r="P12" s="395"/>
      <c r="Q12" s="395"/>
      <c r="R12" s="395"/>
    </row>
  </sheetData>
  <customSheetViews>
    <customSheetView guid="{25FAB884-5E17-4008-8139-33D910C7DEFE}">
      <selection activeCell="H39" sqref="H39"/>
      <pageMargins left="0.7" right="0.7" top="0.75" bottom="0.75" header="0.3" footer="0.3"/>
    </customSheetView>
    <customSheetView guid="{8DA78CF1-615A-4626-9893-6751995631A4}" showGridLines="0">
      <pane xSplit="2" ySplit="1" topLeftCell="C2" activePane="bottomRight" state="frozen"/>
      <selection pane="bottomRight" activeCell="A28" sqref="A28"/>
      <pageMargins left="0.7" right="0.7" top="0.75" bottom="0.75" header="0.3" footer="0.3"/>
      <pageSetup paperSize="9" orientation="portrait" horizontalDpi="1200" verticalDpi="1200" r:id="rId1"/>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899D69CD-4B7E-42BC-9944-5BD922EB798C}">
      <selection activeCell="K24" sqref="K24"/>
      <pageMargins left="0.7" right="0.7" top="0.75" bottom="0.75" header="0.3" footer="0.3"/>
    </customSheetView>
    <customSheetView guid="{9AF4A83C-CF57-4B40-8A74-6A0EA6C2FE5C}" showGridLines="0">
      <pane xSplit="2" ySplit="1" topLeftCell="C2" activePane="bottomRight" state="frozen"/>
      <selection pane="bottomRight" activeCell="D30" sqref="D30"/>
      <pageMargins left="0.7" right="0.7" top="0.75" bottom="0.75" header="0.3" footer="0.3"/>
      <pageSetup paperSize="9" orientation="portrait" horizontalDpi="1200" verticalDpi="1200" r:id="rId2"/>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4"/>
  <sheetViews>
    <sheetView workbookViewId="0">
      <selection activeCell="B33" sqref="B33"/>
    </sheetView>
  </sheetViews>
  <sheetFormatPr defaultColWidth="9.140625" defaultRowHeight="12.75"/>
  <cols>
    <col min="1" max="2" width="35.7109375" style="100" customWidth="1"/>
    <col min="3" max="15" width="13.42578125" style="100" customWidth="1"/>
    <col min="16" max="17" width="9.140625" style="100" customWidth="1"/>
    <col min="18" max="18" width="5.140625" style="100" customWidth="1"/>
    <col min="19" max="19" width="2.140625" style="100" customWidth="1"/>
    <col min="20" max="16384" width="9.140625" style="100"/>
  </cols>
  <sheetData>
    <row r="1" spans="1:19" ht="13.5" thickBot="1">
      <c r="A1" s="31" t="s">
        <v>525</v>
      </c>
      <c r="B1" s="31" t="s">
        <v>529</v>
      </c>
      <c r="C1" s="150">
        <v>42825</v>
      </c>
      <c r="D1" s="150">
        <v>42916</v>
      </c>
      <c r="E1" s="150">
        <v>43008</v>
      </c>
      <c r="F1" s="150">
        <v>43100</v>
      </c>
      <c r="G1" s="150">
        <v>43101</v>
      </c>
      <c r="H1" s="150">
        <v>43190</v>
      </c>
      <c r="I1" s="150">
        <v>43281</v>
      </c>
      <c r="J1" s="150">
        <v>43373</v>
      </c>
      <c r="K1" s="150">
        <v>43465</v>
      </c>
      <c r="L1" s="150">
        <v>43555</v>
      </c>
      <c r="M1" s="150">
        <v>43646</v>
      </c>
      <c r="N1" s="150">
        <v>43738</v>
      </c>
      <c r="O1" s="150">
        <v>43830</v>
      </c>
      <c r="P1" s="151"/>
      <c r="Q1" s="151"/>
      <c r="R1" s="151"/>
      <c r="S1" s="151"/>
    </row>
    <row r="2" spans="1:19" ht="25.5">
      <c r="A2" s="163" t="s">
        <v>507</v>
      </c>
      <c r="B2" s="163" t="s">
        <v>516</v>
      </c>
      <c r="C2" s="175">
        <f t="shared" ref="C2" si="0">SUM(C3:C5)</f>
        <v>1742397</v>
      </c>
      <c r="D2" s="175">
        <f t="shared" ref="D2" si="1">SUM(D3:D5)</f>
        <v>1604253</v>
      </c>
      <c r="E2" s="175">
        <f t="shared" ref="E2" si="2">SUM(E3:E5)</f>
        <v>1644383</v>
      </c>
      <c r="F2" s="175">
        <f t="shared" ref="F2:K2" si="3">SUM(F3:F5)</f>
        <v>1226551</v>
      </c>
      <c r="G2" s="175">
        <f t="shared" ref="G2" si="4">SUM(G3:G5)</f>
        <v>1226551</v>
      </c>
      <c r="H2" s="175">
        <f t="shared" si="3"/>
        <v>1089139</v>
      </c>
      <c r="I2" s="175">
        <f t="shared" si="3"/>
        <v>1500306</v>
      </c>
      <c r="J2" s="175">
        <f t="shared" si="3"/>
        <v>941677</v>
      </c>
      <c r="K2" s="175">
        <f t="shared" si="3"/>
        <v>1081227</v>
      </c>
      <c r="L2" s="175">
        <f>SUM(L3:L5)</f>
        <v>1249671</v>
      </c>
      <c r="M2" s="175">
        <f>SUM(M3:M5)</f>
        <v>1336714</v>
      </c>
      <c r="N2" s="175">
        <f>SUM(N3:N5)</f>
        <v>1761397</v>
      </c>
      <c r="O2" s="321">
        <f>SUM(O3:O5)</f>
        <v>1474161</v>
      </c>
    </row>
    <row r="3" spans="1:19">
      <c r="A3" s="164" t="s">
        <v>508</v>
      </c>
      <c r="B3" s="164" t="s">
        <v>517</v>
      </c>
      <c r="C3" s="171">
        <v>966161</v>
      </c>
      <c r="D3" s="171">
        <v>811218</v>
      </c>
      <c r="E3" s="171">
        <v>801463</v>
      </c>
      <c r="F3" s="171">
        <v>307344</v>
      </c>
      <c r="G3" s="171">
        <v>307344</v>
      </c>
      <c r="H3" s="176">
        <v>359621</v>
      </c>
      <c r="I3" s="176">
        <v>378575</v>
      </c>
      <c r="J3" s="176">
        <v>339111</v>
      </c>
      <c r="K3" s="42">
        <v>553999</v>
      </c>
      <c r="L3" s="42">
        <v>661157</v>
      </c>
      <c r="M3" s="42">
        <v>723495</v>
      </c>
      <c r="N3" s="42">
        <v>875693</v>
      </c>
      <c r="O3" s="322">
        <v>719181</v>
      </c>
    </row>
    <row r="4" spans="1:19" ht="25.5">
      <c r="A4" s="165" t="s">
        <v>509</v>
      </c>
      <c r="B4" s="165" t="s">
        <v>518</v>
      </c>
      <c r="C4" s="171">
        <v>13079</v>
      </c>
      <c r="D4" s="171">
        <v>12382</v>
      </c>
      <c r="E4" s="171">
        <v>8268</v>
      </c>
      <c r="F4" s="171">
        <v>6053</v>
      </c>
      <c r="G4" s="171">
        <v>6053</v>
      </c>
      <c r="H4" s="176">
        <v>6880</v>
      </c>
      <c r="I4" s="176">
        <v>6394</v>
      </c>
      <c r="J4" s="176">
        <v>6282</v>
      </c>
      <c r="K4" s="42">
        <v>3279</v>
      </c>
      <c r="L4" s="42">
        <v>2844</v>
      </c>
      <c r="M4" s="42">
        <v>3148</v>
      </c>
      <c r="N4" s="42">
        <v>1916</v>
      </c>
      <c r="O4" s="322">
        <v>1450</v>
      </c>
    </row>
    <row r="5" spans="1:19">
      <c r="A5" s="164" t="s">
        <v>510</v>
      </c>
      <c r="B5" s="164" t="s">
        <v>519</v>
      </c>
      <c r="C5" s="171">
        <v>763157</v>
      </c>
      <c r="D5" s="171">
        <v>780653</v>
      </c>
      <c r="E5" s="171">
        <v>834652</v>
      </c>
      <c r="F5" s="171">
        <v>913154</v>
      </c>
      <c r="G5" s="171">
        <v>913154</v>
      </c>
      <c r="H5" s="176">
        <v>722638</v>
      </c>
      <c r="I5" s="176">
        <v>1115337</v>
      </c>
      <c r="J5" s="176">
        <v>596284</v>
      </c>
      <c r="K5" s="42">
        <v>523949</v>
      </c>
      <c r="L5" s="42">
        <v>585670</v>
      </c>
      <c r="M5" s="42">
        <v>610071</v>
      </c>
      <c r="N5" s="42">
        <v>883788</v>
      </c>
      <c r="O5" s="322">
        <v>753530</v>
      </c>
    </row>
    <row r="6" spans="1:19">
      <c r="A6" s="166" t="s">
        <v>511</v>
      </c>
      <c r="B6" s="166" t="s">
        <v>520</v>
      </c>
      <c r="C6" s="177">
        <f t="shared" ref="C6" si="5">C7+C14</f>
        <v>745727</v>
      </c>
      <c r="D6" s="177">
        <f t="shared" ref="D6" si="6">D7+D14</f>
        <v>234987</v>
      </c>
      <c r="E6" s="177">
        <f t="shared" ref="E6:K6" si="7">E7+E14</f>
        <v>482164</v>
      </c>
      <c r="F6" s="175">
        <f t="shared" si="7"/>
        <v>203211</v>
      </c>
      <c r="G6" s="175">
        <f t="shared" ref="G6" si="8">G7+G14</f>
        <v>203211</v>
      </c>
      <c r="H6" s="175">
        <f t="shared" si="7"/>
        <v>139534</v>
      </c>
      <c r="I6" s="175">
        <f t="shared" si="7"/>
        <v>126703</v>
      </c>
      <c r="J6" s="175">
        <f t="shared" si="7"/>
        <v>242267</v>
      </c>
      <c r="K6" s="175">
        <f t="shared" si="7"/>
        <v>105636</v>
      </c>
      <c r="L6" s="175">
        <f>L7+L14</f>
        <v>157815</v>
      </c>
      <c r="M6" s="175">
        <f>M7+M14</f>
        <v>183443</v>
      </c>
      <c r="N6" s="175">
        <f>N7+N14</f>
        <v>999378</v>
      </c>
      <c r="O6" s="321">
        <f>O7+O14</f>
        <v>584347</v>
      </c>
    </row>
    <row r="7" spans="1:19">
      <c r="A7" s="167" t="s">
        <v>512</v>
      </c>
      <c r="B7" s="167" t="s">
        <v>521</v>
      </c>
      <c r="C7" s="175">
        <f>C8+C10+C12</f>
        <v>716181</v>
      </c>
      <c r="D7" s="175">
        <f t="shared" ref="D7:N7" si="9">D8+D10+D12</f>
        <v>203709</v>
      </c>
      <c r="E7" s="175">
        <f t="shared" si="9"/>
        <v>421096</v>
      </c>
      <c r="F7" s="175">
        <f t="shared" si="9"/>
        <v>187750</v>
      </c>
      <c r="G7" s="175">
        <f t="shared" ref="G7" si="10">G8+G10+G12</f>
        <v>187750</v>
      </c>
      <c r="H7" s="175">
        <f t="shared" si="9"/>
        <v>113823</v>
      </c>
      <c r="I7" s="175">
        <f t="shared" si="9"/>
        <v>100986</v>
      </c>
      <c r="J7" s="175">
        <f t="shared" si="9"/>
        <v>224861</v>
      </c>
      <c r="K7" s="175">
        <f t="shared" si="9"/>
        <v>88735</v>
      </c>
      <c r="L7" s="175">
        <f t="shared" si="9"/>
        <v>136366</v>
      </c>
      <c r="M7" s="175">
        <f t="shared" si="9"/>
        <v>152273</v>
      </c>
      <c r="N7" s="175">
        <f t="shared" si="9"/>
        <v>981011</v>
      </c>
      <c r="O7" s="321">
        <f>O8+O10+O12</f>
        <v>546607</v>
      </c>
    </row>
    <row r="8" spans="1:19">
      <c r="A8" s="164" t="s">
        <v>340</v>
      </c>
      <c r="B8" s="164" t="s">
        <v>350</v>
      </c>
      <c r="C8" s="42">
        <f t="shared" ref="C8:K8" si="11">C9</f>
        <v>715689</v>
      </c>
      <c r="D8" s="42">
        <f t="shared" si="11"/>
        <v>202369</v>
      </c>
      <c r="E8" s="42">
        <f t="shared" si="11"/>
        <v>419329</v>
      </c>
      <c r="F8" s="42">
        <f t="shared" si="11"/>
        <v>183702</v>
      </c>
      <c r="G8" s="42">
        <f t="shared" si="11"/>
        <v>183702</v>
      </c>
      <c r="H8" s="42">
        <f t="shared" si="11"/>
        <v>110112</v>
      </c>
      <c r="I8" s="42">
        <f t="shared" si="11"/>
        <v>95922</v>
      </c>
      <c r="J8" s="42">
        <f t="shared" si="11"/>
        <v>220292</v>
      </c>
      <c r="K8" s="42">
        <f t="shared" si="11"/>
        <v>84552</v>
      </c>
      <c r="L8" s="42">
        <f>L9</f>
        <v>131731</v>
      </c>
      <c r="M8" s="42">
        <f>M9</f>
        <v>147485</v>
      </c>
      <c r="N8" s="42">
        <f>N9</f>
        <v>236425</v>
      </c>
      <c r="O8" s="322">
        <f>O9</f>
        <v>391616</v>
      </c>
    </row>
    <row r="9" spans="1:19" ht="12.75" customHeight="1">
      <c r="A9" s="164" t="s">
        <v>341</v>
      </c>
      <c r="B9" s="164" t="s">
        <v>351</v>
      </c>
      <c r="C9" s="42">
        <v>715689</v>
      </c>
      <c r="D9" s="42">
        <v>202369</v>
      </c>
      <c r="E9" s="42">
        <v>419329</v>
      </c>
      <c r="F9" s="171">
        <v>183702</v>
      </c>
      <c r="G9" s="171">
        <v>183702</v>
      </c>
      <c r="H9" s="176">
        <v>110112</v>
      </c>
      <c r="I9" s="176">
        <v>95922</v>
      </c>
      <c r="J9" s="176">
        <v>220292</v>
      </c>
      <c r="K9" s="42">
        <v>84552</v>
      </c>
      <c r="L9" s="42">
        <v>131731</v>
      </c>
      <c r="M9" s="42">
        <v>147485</v>
      </c>
      <c r="N9" s="42">
        <v>236425</v>
      </c>
      <c r="O9" s="322">
        <v>391616</v>
      </c>
    </row>
    <row r="10" spans="1:19" s="173" customFormat="1">
      <c r="A10" s="164" t="s">
        <v>342</v>
      </c>
      <c r="B10" s="164" t="s">
        <v>352</v>
      </c>
      <c r="C10" s="42">
        <f>C11</f>
        <v>0</v>
      </c>
      <c r="D10" s="42">
        <f t="shared" ref="D10:N10" si="12">D11</f>
        <v>0</v>
      </c>
      <c r="E10" s="42">
        <f t="shared" si="12"/>
        <v>0</v>
      </c>
      <c r="F10" s="42">
        <f t="shared" si="12"/>
        <v>0</v>
      </c>
      <c r="G10" s="42">
        <f t="shared" si="12"/>
        <v>0</v>
      </c>
      <c r="H10" s="42">
        <f t="shared" si="12"/>
        <v>0</v>
      </c>
      <c r="I10" s="42">
        <f t="shared" si="12"/>
        <v>0</v>
      </c>
      <c r="J10" s="42">
        <f t="shared" si="12"/>
        <v>0</v>
      </c>
      <c r="K10" s="42">
        <f t="shared" si="12"/>
        <v>0</v>
      </c>
      <c r="L10" s="42">
        <f t="shared" si="12"/>
        <v>0</v>
      </c>
      <c r="M10" s="42">
        <f t="shared" si="12"/>
        <v>0</v>
      </c>
      <c r="N10" s="42">
        <f t="shared" si="12"/>
        <v>739907</v>
      </c>
      <c r="O10" s="323">
        <f>O11</f>
        <v>149987</v>
      </c>
    </row>
    <row r="11" spans="1:19" s="173" customFormat="1">
      <c r="A11" s="164" t="s">
        <v>343</v>
      </c>
      <c r="B11" s="164" t="s">
        <v>353</v>
      </c>
      <c r="C11" s="42">
        <v>0</v>
      </c>
      <c r="D11" s="42">
        <v>0</v>
      </c>
      <c r="E11" s="42">
        <v>0</v>
      </c>
      <c r="F11" s="42">
        <v>0</v>
      </c>
      <c r="G11" s="42">
        <v>0</v>
      </c>
      <c r="H11" s="42">
        <v>0</v>
      </c>
      <c r="I11" s="42">
        <v>0</v>
      </c>
      <c r="J11" s="42">
        <v>0</v>
      </c>
      <c r="K11" s="42">
        <v>0</v>
      </c>
      <c r="L11" s="42">
        <v>0</v>
      </c>
      <c r="M11" s="42">
        <v>0</v>
      </c>
      <c r="N11" s="42">
        <v>739907</v>
      </c>
      <c r="O11" s="322">
        <v>149987</v>
      </c>
    </row>
    <row r="12" spans="1:19">
      <c r="A12" s="164" t="s">
        <v>513</v>
      </c>
      <c r="B12" s="164" t="s">
        <v>522</v>
      </c>
      <c r="C12" s="42">
        <f t="shared" ref="C12:K12" si="13">C13</f>
        <v>492</v>
      </c>
      <c r="D12" s="42">
        <f t="shared" si="13"/>
        <v>1340</v>
      </c>
      <c r="E12" s="42">
        <f t="shared" si="13"/>
        <v>1767</v>
      </c>
      <c r="F12" s="42">
        <f t="shared" si="13"/>
        <v>4048</v>
      </c>
      <c r="G12" s="42">
        <f t="shared" si="13"/>
        <v>4048</v>
      </c>
      <c r="H12" s="42">
        <f t="shared" si="13"/>
        <v>3711</v>
      </c>
      <c r="I12" s="42">
        <f t="shared" si="13"/>
        <v>5064</v>
      </c>
      <c r="J12" s="42">
        <f t="shared" si="13"/>
        <v>4569</v>
      </c>
      <c r="K12" s="42">
        <f t="shared" si="13"/>
        <v>4183</v>
      </c>
      <c r="L12" s="42">
        <f>L13</f>
        <v>4635</v>
      </c>
      <c r="M12" s="42">
        <f>M13</f>
        <v>4788</v>
      </c>
      <c r="N12" s="42">
        <f>N13</f>
        <v>4679</v>
      </c>
      <c r="O12" s="322">
        <f>O13</f>
        <v>5004</v>
      </c>
    </row>
    <row r="13" spans="1:19">
      <c r="A13" s="164" t="s">
        <v>341</v>
      </c>
      <c r="B13" s="164" t="s">
        <v>351</v>
      </c>
      <c r="C13" s="42">
        <v>492</v>
      </c>
      <c r="D13" s="42">
        <v>1340</v>
      </c>
      <c r="E13" s="42">
        <v>1767</v>
      </c>
      <c r="F13" s="171">
        <v>4048</v>
      </c>
      <c r="G13" s="171">
        <v>4048</v>
      </c>
      <c r="H13" s="176">
        <v>3711</v>
      </c>
      <c r="I13" s="176">
        <v>5064</v>
      </c>
      <c r="J13" s="176">
        <v>4569</v>
      </c>
      <c r="K13" s="42">
        <v>4183</v>
      </c>
      <c r="L13" s="42">
        <v>4635</v>
      </c>
      <c r="M13" s="42">
        <v>4788</v>
      </c>
      <c r="N13" s="42">
        <v>4679</v>
      </c>
      <c r="O13" s="322">
        <v>5004</v>
      </c>
    </row>
    <row r="14" spans="1:19">
      <c r="A14" s="167" t="s">
        <v>514</v>
      </c>
      <c r="B14" s="167" t="s">
        <v>523</v>
      </c>
      <c r="C14" s="175">
        <v>29546</v>
      </c>
      <c r="D14" s="175">
        <v>31278</v>
      </c>
      <c r="E14" s="175">
        <v>61068</v>
      </c>
      <c r="F14" s="172">
        <v>15461</v>
      </c>
      <c r="G14" s="172">
        <v>15461</v>
      </c>
      <c r="H14" s="178">
        <v>25711</v>
      </c>
      <c r="I14" s="178">
        <v>25717</v>
      </c>
      <c r="J14" s="178">
        <v>17406</v>
      </c>
      <c r="K14" s="175">
        <v>16901</v>
      </c>
      <c r="L14" s="175">
        <v>21449</v>
      </c>
      <c r="M14" s="175">
        <v>31170</v>
      </c>
      <c r="N14" s="175">
        <v>18367</v>
      </c>
      <c r="O14" s="321">
        <v>37740</v>
      </c>
    </row>
    <row r="15" spans="1:19">
      <c r="A15" s="169" t="s">
        <v>526</v>
      </c>
      <c r="B15" s="169" t="s">
        <v>530</v>
      </c>
      <c r="C15" s="170">
        <f>C2+C6</f>
        <v>2488124</v>
      </c>
      <c r="D15" s="170">
        <f t="shared" ref="D15:L15" si="14">D2+D6</f>
        <v>1839240</v>
      </c>
      <c r="E15" s="170">
        <f t="shared" si="14"/>
        <v>2126547</v>
      </c>
      <c r="F15" s="170">
        <f t="shared" si="14"/>
        <v>1429762</v>
      </c>
      <c r="G15" s="170">
        <f t="shared" ref="G15" si="15">G2+G6</f>
        <v>1429762</v>
      </c>
      <c r="H15" s="170">
        <f t="shared" si="14"/>
        <v>1228673</v>
      </c>
      <c r="I15" s="170">
        <f t="shared" si="14"/>
        <v>1627009</v>
      </c>
      <c r="J15" s="170">
        <f t="shared" si="14"/>
        <v>1183944</v>
      </c>
      <c r="K15" s="170">
        <f t="shared" si="14"/>
        <v>1186863</v>
      </c>
      <c r="L15" s="170">
        <f t="shared" si="14"/>
        <v>1407486</v>
      </c>
      <c r="M15" s="170">
        <f t="shared" ref="M15:N15" si="16">M2+M6</f>
        <v>1520157</v>
      </c>
      <c r="N15" s="170">
        <f t="shared" si="16"/>
        <v>2760775</v>
      </c>
      <c r="O15" s="324">
        <f>O2+O6</f>
        <v>2058508</v>
      </c>
    </row>
    <row r="16" spans="1:19">
      <c r="A16" s="181"/>
      <c r="B16" s="181"/>
      <c r="C16" s="185"/>
      <c r="D16" s="185"/>
      <c r="E16" s="185"/>
      <c r="F16" s="185"/>
      <c r="G16" s="185"/>
      <c r="H16" s="185"/>
      <c r="I16" s="185"/>
      <c r="J16" s="185"/>
      <c r="K16" s="185"/>
      <c r="L16" s="185"/>
      <c r="M16" s="185"/>
      <c r="N16" s="185"/>
      <c r="O16" s="185"/>
    </row>
    <row r="17" spans="1:22">
      <c r="A17" s="181"/>
      <c r="B17" s="181"/>
      <c r="C17" s="182"/>
      <c r="D17" s="182"/>
      <c r="E17" s="182"/>
      <c r="F17" s="182"/>
      <c r="G17" s="182"/>
      <c r="H17" s="182"/>
      <c r="I17" s="182"/>
      <c r="J17" s="182"/>
      <c r="K17" s="182"/>
      <c r="L17" s="182"/>
    </row>
    <row r="18" spans="1:22" ht="26.25" thickBot="1">
      <c r="A18" s="31" t="s">
        <v>537</v>
      </c>
      <c r="B18" s="31" t="s">
        <v>542</v>
      </c>
      <c r="C18" s="150">
        <v>42825</v>
      </c>
      <c r="D18" s="150">
        <v>42916</v>
      </c>
      <c r="E18" s="150">
        <v>43008</v>
      </c>
      <c r="F18" s="150">
        <v>43100</v>
      </c>
      <c r="G18" s="150">
        <v>43101</v>
      </c>
      <c r="H18" s="150">
        <v>43190</v>
      </c>
      <c r="I18" s="150">
        <v>43281</v>
      </c>
      <c r="J18" s="150">
        <v>43373</v>
      </c>
      <c r="K18" s="150">
        <v>43465</v>
      </c>
      <c r="L18" s="150">
        <v>43555</v>
      </c>
      <c r="M18" s="150">
        <f>M1</f>
        <v>43646</v>
      </c>
      <c r="N18" s="150">
        <f>N1</f>
        <v>43738</v>
      </c>
      <c r="O18" s="150">
        <f>O1</f>
        <v>43830</v>
      </c>
    </row>
    <row r="19" spans="1:22" ht="25.5">
      <c r="A19" s="184" t="s">
        <v>533</v>
      </c>
      <c r="B19" s="164" t="s">
        <v>539</v>
      </c>
      <c r="C19" s="176">
        <v>1254</v>
      </c>
      <c r="D19" s="176">
        <v>1031</v>
      </c>
      <c r="E19" s="176">
        <v>2356</v>
      </c>
      <c r="F19" s="176">
        <v>2283</v>
      </c>
      <c r="G19" s="176">
        <v>2283</v>
      </c>
      <c r="H19" s="176">
        <v>281</v>
      </c>
      <c r="I19" s="176">
        <v>277</v>
      </c>
      <c r="J19" s="176">
        <v>1084</v>
      </c>
      <c r="K19" s="176">
        <v>312</v>
      </c>
      <c r="L19" s="176">
        <v>139</v>
      </c>
      <c r="M19" s="176">
        <v>1241</v>
      </c>
      <c r="N19" s="176">
        <v>8</v>
      </c>
      <c r="O19" s="322">
        <v>2880</v>
      </c>
    </row>
    <row r="20" spans="1:22" ht="25.5">
      <c r="A20" s="165" t="s">
        <v>534</v>
      </c>
      <c r="B20" s="165" t="s">
        <v>540</v>
      </c>
      <c r="C20" s="183">
        <v>109535</v>
      </c>
      <c r="D20" s="183">
        <v>88080</v>
      </c>
      <c r="E20" s="183">
        <v>112787</v>
      </c>
      <c r="F20" s="183">
        <v>215778</v>
      </c>
      <c r="G20" s="183">
        <v>215778</v>
      </c>
      <c r="H20" s="183">
        <v>186168</v>
      </c>
      <c r="I20" s="183">
        <v>90344</v>
      </c>
      <c r="J20" s="183">
        <v>110016</v>
      </c>
      <c r="K20" s="183">
        <v>72909</v>
      </c>
      <c r="L20" s="183">
        <v>76243</v>
      </c>
      <c r="M20" s="183">
        <v>94165</v>
      </c>
      <c r="N20" s="183">
        <v>38952</v>
      </c>
      <c r="O20" s="325">
        <v>41093</v>
      </c>
    </row>
    <row r="21" spans="1:22">
      <c r="A21" s="169" t="s">
        <v>535</v>
      </c>
      <c r="B21" s="169" t="s">
        <v>536</v>
      </c>
      <c r="C21" s="170">
        <f>C19+C20</f>
        <v>110789</v>
      </c>
      <c r="D21" s="170">
        <f t="shared" ref="D21:L21" si="17">D19+D20</f>
        <v>89111</v>
      </c>
      <c r="E21" s="170">
        <f t="shared" si="17"/>
        <v>115143</v>
      </c>
      <c r="F21" s="170">
        <f t="shared" si="17"/>
        <v>218061</v>
      </c>
      <c r="G21" s="170">
        <f t="shared" ref="G21" si="18">G19+G20</f>
        <v>218061</v>
      </c>
      <c r="H21" s="170">
        <f t="shared" si="17"/>
        <v>186449</v>
      </c>
      <c r="I21" s="170">
        <f t="shared" si="17"/>
        <v>90621</v>
      </c>
      <c r="J21" s="170">
        <f t="shared" si="17"/>
        <v>111100</v>
      </c>
      <c r="K21" s="170">
        <f t="shared" si="17"/>
        <v>73221</v>
      </c>
      <c r="L21" s="170">
        <f t="shared" si="17"/>
        <v>76382</v>
      </c>
      <c r="M21" s="170">
        <f t="shared" ref="M21:N21" si="19">M19+M20</f>
        <v>95406</v>
      </c>
      <c r="N21" s="170">
        <f t="shared" si="19"/>
        <v>38960</v>
      </c>
      <c r="O21" s="170">
        <f>O19+O20</f>
        <v>43973</v>
      </c>
      <c r="P21" s="182"/>
      <c r="Q21" s="182"/>
      <c r="R21" s="182"/>
      <c r="S21" s="182"/>
    </row>
    <row r="22" spans="1:22">
      <c r="A22" s="181"/>
      <c r="B22" s="181"/>
      <c r="C22" s="365">
        <f>C15+C21-BS!D5</f>
        <v>0</v>
      </c>
      <c r="D22" s="365">
        <f>D15+D21-BS!E5</f>
        <v>0</v>
      </c>
      <c r="E22" s="365">
        <f>E15+E21-BS!F5</f>
        <v>0</v>
      </c>
      <c r="F22" s="365">
        <f>F15+F21-BS!G5</f>
        <v>0</v>
      </c>
      <c r="G22" s="365"/>
      <c r="H22" s="365">
        <f>H15+H21-BS!I5</f>
        <v>0</v>
      </c>
      <c r="I22" s="365">
        <f>I15+I21-BS!J5</f>
        <v>0</v>
      </c>
      <c r="J22" s="365">
        <f>J15+J21-BS!K5</f>
        <v>0</v>
      </c>
      <c r="K22" s="365">
        <f>K15+K21-BS!L5</f>
        <v>0</v>
      </c>
      <c r="L22" s="365">
        <f>L15+L21-BS!M5</f>
        <v>0</v>
      </c>
      <c r="M22" s="365">
        <f>M15+M21-BS!N5</f>
        <v>0</v>
      </c>
      <c r="N22" s="365">
        <f>N15+N21-BS!O5</f>
        <v>0</v>
      </c>
      <c r="O22" s="365">
        <f>O15+O21-BS!P5</f>
        <v>0</v>
      </c>
      <c r="P22" s="182"/>
      <c r="Q22" s="182"/>
      <c r="R22" s="182"/>
      <c r="S22" s="182"/>
    </row>
    <row r="23" spans="1:22" ht="15" customHeight="1">
      <c r="C23" s="344"/>
      <c r="D23" s="344"/>
      <c r="E23" s="344"/>
      <c r="F23" s="344"/>
      <c r="G23" s="344"/>
      <c r="H23" s="344"/>
      <c r="I23" s="344"/>
      <c r="J23" s="344"/>
      <c r="K23" s="344"/>
      <c r="L23" s="344"/>
      <c r="M23" s="344"/>
      <c r="N23" s="344"/>
      <c r="O23" s="344"/>
      <c r="P23" s="186"/>
      <c r="Q23" s="186"/>
      <c r="R23" s="186"/>
      <c r="S23" s="186"/>
      <c r="T23" s="186"/>
    </row>
    <row r="24" spans="1:22">
      <c r="C24" s="344"/>
      <c r="D24" s="344"/>
      <c r="E24" s="344"/>
      <c r="F24" s="344"/>
      <c r="G24" s="344"/>
      <c r="H24" s="344"/>
      <c r="I24" s="344"/>
      <c r="J24" s="344"/>
      <c r="K24" s="344"/>
      <c r="L24" s="344"/>
      <c r="M24" s="344"/>
      <c r="N24" s="344"/>
      <c r="O24" s="344"/>
    </row>
    <row r="25" spans="1:22">
      <c r="A25" s="161"/>
      <c r="B25" s="161"/>
      <c r="C25" s="338"/>
      <c r="D25" s="338"/>
      <c r="E25" s="338"/>
      <c r="F25" s="338"/>
      <c r="G25" s="338"/>
      <c r="H25" s="338"/>
      <c r="I25" s="338"/>
      <c r="J25" s="338"/>
      <c r="K25" s="338"/>
      <c r="L25" s="338"/>
      <c r="M25" s="338"/>
      <c r="N25" s="338"/>
      <c r="O25" s="338"/>
    </row>
    <row r="26" spans="1:22" ht="26.25" thickBot="1">
      <c r="A26" s="339" t="s">
        <v>527</v>
      </c>
      <c r="B26" s="339" t="s">
        <v>531</v>
      </c>
      <c r="C26" s="150">
        <v>42825</v>
      </c>
      <c r="D26" s="150">
        <v>42916</v>
      </c>
      <c r="E26" s="150">
        <v>43008</v>
      </c>
      <c r="F26" s="150">
        <v>43100</v>
      </c>
      <c r="G26" s="150">
        <v>43101</v>
      </c>
      <c r="H26" s="150">
        <v>43190</v>
      </c>
      <c r="I26" s="150">
        <v>43281</v>
      </c>
      <c r="J26" s="150">
        <v>43373</v>
      </c>
      <c r="K26" s="150">
        <v>43465</v>
      </c>
      <c r="L26" s="150">
        <v>43555</v>
      </c>
      <c r="M26" s="150">
        <f>M18</f>
        <v>43646</v>
      </c>
      <c r="N26" s="150">
        <f>N18</f>
        <v>43738</v>
      </c>
      <c r="O26" s="150">
        <f>O18</f>
        <v>43830</v>
      </c>
    </row>
    <row r="27" spans="1:22" ht="25.5">
      <c r="A27" s="163" t="s">
        <v>507</v>
      </c>
      <c r="B27" s="163" t="s">
        <v>516</v>
      </c>
      <c r="C27" s="175">
        <f t="shared" ref="C27" si="20">SUM(C28:C30)</f>
        <v>1590912</v>
      </c>
      <c r="D27" s="175">
        <f t="shared" ref="D27" si="21">SUM(D28:D30)</f>
        <v>1502171</v>
      </c>
      <c r="E27" s="175">
        <f t="shared" ref="E27" si="22">SUM(E28:E30)</f>
        <v>1487405</v>
      </c>
      <c r="F27" s="175">
        <f t="shared" ref="F27:G27" si="23">SUM(F28:F30)</f>
        <v>1237704</v>
      </c>
      <c r="G27" s="175">
        <f t="shared" si="23"/>
        <v>1237704</v>
      </c>
      <c r="H27" s="175">
        <v>954909</v>
      </c>
      <c r="I27" s="175">
        <f t="shared" ref="I27:K27" si="24">SUM(I28:I30)</f>
        <v>1194616</v>
      </c>
      <c r="J27" s="175">
        <f t="shared" si="24"/>
        <v>891658</v>
      </c>
      <c r="K27" s="175">
        <f t="shared" si="24"/>
        <v>1058024</v>
      </c>
      <c r="L27" s="175">
        <f>SUM(L28:L30)</f>
        <v>1166394</v>
      </c>
      <c r="M27" s="175">
        <f>SUM(M28:M30)</f>
        <v>1401461</v>
      </c>
      <c r="N27" s="175">
        <f>SUM(N28:N30)</f>
        <v>1793215</v>
      </c>
      <c r="O27" s="326">
        <f>SUM(O28:O30)</f>
        <v>1524250</v>
      </c>
      <c r="P27" s="173"/>
      <c r="Q27" s="173"/>
      <c r="R27" s="173"/>
      <c r="S27" s="173"/>
      <c r="T27" s="173"/>
      <c r="U27" s="173"/>
      <c r="V27" s="173"/>
    </row>
    <row r="28" spans="1:22">
      <c r="A28" s="164" t="s">
        <v>508</v>
      </c>
      <c r="B28" s="164" t="s">
        <v>517</v>
      </c>
      <c r="C28" s="176">
        <v>875142</v>
      </c>
      <c r="D28" s="176">
        <v>719949</v>
      </c>
      <c r="E28" s="176">
        <v>745857</v>
      </c>
      <c r="F28" s="176">
        <v>275046</v>
      </c>
      <c r="G28" s="176">
        <v>275046</v>
      </c>
      <c r="H28" s="174">
        <v>268605</v>
      </c>
      <c r="I28" s="176">
        <v>257153</v>
      </c>
      <c r="J28" s="176">
        <v>281004</v>
      </c>
      <c r="K28" s="42">
        <v>545393</v>
      </c>
      <c r="L28" s="42">
        <v>620795</v>
      </c>
      <c r="M28" s="42">
        <v>695089</v>
      </c>
      <c r="N28" s="42">
        <v>958617</v>
      </c>
      <c r="O28" s="322">
        <v>766820</v>
      </c>
      <c r="P28" s="173"/>
      <c r="Q28" s="173"/>
      <c r="R28" s="173"/>
      <c r="S28" s="173"/>
      <c r="T28" s="173"/>
      <c r="U28" s="173"/>
      <c r="V28" s="173"/>
    </row>
    <row r="29" spans="1:22" ht="25.5">
      <c r="A29" s="165" t="s">
        <v>509</v>
      </c>
      <c r="B29" s="165" t="s">
        <v>518</v>
      </c>
      <c r="C29" s="176">
        <v>13079</v>
      </c>
      <c r="D29" s="176">
        <v>12382</v>
      </c>
      <c r="E29" s="176">
        <v>8268</v>
      </c>
      <c r="F29" s="176">
        <v>6053</v>
      </c>
      <c r="G29" s="176">
        <v>6053</v>
      </c>
      <c r="H29" s="176">
        <v>6880</v>
      </c>
      <c r="I29" s="176">
        <v>6394</v>
      </c>
      <c r="J29" s="176">
        <v>6282</v>
      </c>
      <c r="K29" s="42">
        <v>3279</v>
      </c>
      <c r="L29" s="42">
        <v>2844</v>
      </c>
      <c r="M29" s="42">
        <v>3148</v>
      </c>
      <c r="N29" s="42">
        <v>1916</v>
      </c>
      <c r="O29" s="322">
        <v>1450</v>
      </c>
      <c r="P29" s="173"/>
      <c r="Q29" s="173"/>
      <c r="R29" s="173"/>
      <c r="S29" s="173"/>
      <c r="T29" s="173"/>
      <c r="U29" s="173"/>
      <c r="V29" s="173"/>
    </row>
    <row r="30" spans="1:22">
      <c r="A30" s="164" t="s">
        <v>510</v>
      </c>
      <c r="B30" s="164" t="s">
        <v>519</v>
      </c>
      <c r="C30" s="176">
        <v>702691</v>
      </c>
      <c r="D30" s="176">
        <v>769840</v>
      </c>
      <c r="E30" s="176">
        <v>733280</v>
      </c>
      <c r="F30" s="176">
        <v>956605</v>
      </c>
      <c r="G30" s="176">
        <v>956605</v>
      </c>
      <c r="H30" s="176">
        <v>679424</v>
      </c>
      <c r="I30" s="176">
        <v>931069</v>
      </c>
      <c r="J30" s="176">
        <v>604372</v>
      </c>
      <c r="K30" s="176">
        <v>509352</v>
      </c>
      <c r="L30" s="176">
        <v>542755</v>
      </c>
      <c r="M30" s="176">
        <v>703224</v>
      </c>
      <c r="N30" s="176">
        <v>832682</v>
      </c>
      <c r="O30" s="322">
        <v>755980</v>
      </c>
      <c r="P30" s="173"/>
      <c r="Q30" s="173"/>
      <c r="R30" s="173"/>
      <c r="S30" s="173"/>
      <c r="T30" s="173"/>
      <c r="U30" s="173"/>
      <c r="V30" s="173"/>
    </row>
    <row r="31" spans="1:22">
      <c r="A31" s="168" t="s">
        <v>515</v>
      </c>
      <c r="B31" s="168" t="s">
        <v>524</v>
      </c>
      <c r="C31" s="178">
        <f>176936+580131</f>
        <v>757067</v>
      </c>
      <c r="D31" s="178">
        <f>182684</f>
        <v>182684</v>
      </c>
      <c r="E31" s="178">
        <f>375319</f>
        <v>375319</v>
      </c>
      <c r="F31" s="179">
        <f>230895</f>
        <v>230895</v>
      </c>
      <c r="G31" s="179">
        <f>230895</f>
        <v>230895</v>
      </c>
      <c r="H31" s="178">
        <f>622545</f>
        <v>622545</v>
      </c>
      <c r="I31" s="179">
        <f>105024</f>
        <v>105024</v>
      </c>
      <c r="J31" s="179">
        <f>675323</f>
        <v>675323</v>
      </c>
      <c r="K31" s="180">
        <f>423377</f>
        <v>423377</v>
      </c>
      <c r="L31" s="180">
        <f>722673</f>
        <v>722673</v>
      </c>
      <c r="M31" s="180">
        <f>394767</f>
        <v>394767</v>
      </c>
      <c r="N31" s="180">
        <v>220460</v>
      </c>
      <c r="O31" s="327">
        <v>332563</v>
      </c>
      <c r="P31" s="173"/>
      <c r="Q31" s="173"/>
      <c r="R31" s="173"/>
      <c r="S31" s="173"/>
      <c r="T31" s="173"/>
      <c r="U31" s="173"/>
      <c r="V31" s="173"/>
    </row>
    <row r="32" spans="1:22">
      <c r="A32" s="169" t="s">
        <v>528</v>
      </c>
      <c r="B32" s="169" t="s">
        <v>532</v>
      </c>
      <c r="C32" s="170">
        <f t="shared" ref="C32:L32" si="25">C27+C31</f>
        <v>2347979</v>
      </c>
      <c r="D32" s="170">
        <f t="shared" si="25"/>
        <v>1684855</v>
      </c>
      <c r="E32" s="170">
        <f t="shared" si="25"/>
        <v>1862724</v>
      </c>
      <c r="F32" s="170">
        <f t="shared" si="25"/>
        <v>1468599</v>
      </c>
      <c r="G32" s="170">
        <f t="shared" ref="G32" si="26">G27+G31</f>
        <v>1468599</v>
      </c>
      <c r="H32" s="170">
        <f t="shared" si="25"/>
        <v>1577454</v>
      </c>
      <c r="I32" s="170">
        <f t="shared" si="25"/>
        <v>1299640</v>
      </c>
      <c r="J32" s="170">
        <f t="shared" si="25"/>
        <v>1566981</v>
      </c>
      <c r="K32" s="170">
        <f t="shared" si="25"/>
        <v>1481401</v>
      </c>
      <c r="L32" s="170">
        <f t="shared" si="25"/>
        <v>1889067</v>
      </c>
      <c r="M32" s="170">
        <f t="shared" ref="M32:N32" si="27">M27+M31</f>
        <v>1796228</v>
      </c>
      <c r="N32" s="170">
        <f t="shared" si="27"/>
        <v>2013675</v>
      </c>
      <c r="O32" s="328">
        <f>O27+O31</f>
        <v>1856813</v>
      </c>
      <c r="P32" s="173"/>
      <c r="Q32" s="173"/>
      <c r="R32" s="173"/>
      <c r="S32" s="173"/>
      <c r="T32" s="173"/>
      <c r="U32" s="173"/>
      <c r="V32" s="173"/>
    </row>
    <row r="33" spans="1:22">
      <c r="I33" s="173"/>
      <c r="J33" s="173"/>
      <c r="K33" s="173"/>
      <c r="L33" s="173"/>
      <c r="M33" s="173"/>
      <c r="N33" s="173"/>
      <c r="O33" s="173"/>
      <c r="P33" s="173"/>
      <c r="Q33" s="173"/>
      <c r="R33" s="173"/>
      <c r="S33" s="173"/>
      <c r="T33" s="173"/>
      <c r="U33" s="173"/>
      <c r="V33" s="173"/>
    </row>
    <row r="34" spans="1:22">
      <c r="I34" s="173"/>
      <c r="J34" s="173"/>
      <c r="K34" s="173"/>
      <c r="L34" s="173"/>
      <c r="M34" s="173"/>
      <c r="N34" s="173"/>
      <c r="O34" s="173"/>
      <c r="P34" s="173"/>
      <c r="Q34" s="173"/>
      <c r="R34" s="173"/>
      <c r="S34" s="173"/>
      <c r="T34" s="173"/>
      <c r="U34" s="173"/>
      <c r="V34" s="173"/>
    </row>
    <row r="35" spans="1:22" ht="30" customHeight="1" thickBot="1">
      <c r="A35" s="162" t="s">
        <v>538</v>
      </c>
      <c r="B35" s="31" t="s">
        <v>541</v>
      </c>
      <c r="C35" s="150">
        <f>C26</f>
        <v>42825</v>
      </c>
      <c r="D35" s="150">
        <v>42916</v>
      </c>
      <c r="E35" s="150">
        <v>43008</v>
      </c>
      <c r="F35" s="150">
        <v>43100</v>
      </c>
      <c r="G35" s="150">
        <v>43100</v>
      </c>
      <c r="H35" s="150">
        <v>43190</v>
      </c>
      <c r="I35" s="150">
        <v>43281</v>
      </c>
      <c r="J35" s="150">
        <v>43373</v>
      </c>
      <c r="K35" s="150">
        <v>43465</v>
      </c>
      <c r="L35" s="150">
        <v>43555</v>
      </c>
      <c r="M35" s="150">
        <f>M26</f>
        <v>43646</v>
      </c>
      <c r="N35" s="150">
        <f>N26</f>
        <v>43738</v>
      </c>
      <c r="O35" s="150">
        <f>O26</f>
        <v>43830</v>
      </c>
    </row>
    <row r="36" spans="1:22" ht="30" customHeight="1">
      <c r="A36" s="184" t="s">
        <v>533</v>
      </c>
      <c r="B36" s="164" t="s">
        <v>539</v>
      </c>
      <c r="C36" s="176">
        <v>147946</v>
      </c>
      <c r="D36" s="176">
        <v>162373</v>
      </c>
      <c r="E36" s="176">
        <v>153669</v>
      </c>
      <c r="F36" s="176">
        <v>115496</v>
      </c>
      <c r="G36" s="176">
        <v>115496</v>
      </c>
      <c r="H36" s="176">
        <v>135615</v>
      </c>
      <c r="I36" s="176">
        <v>146817</v>
      </c>
      <c r="J36" s="176">
        <v>140155</v>
      </c>
      <c r="K36" s="176">
        <v>129205</v>
      </c>
      <c r="L36" s="176">
        <v>143828</v>
      </c>
      <c r="M36" s="176">
        <v>172234</v>
      </c>
      <c r="N36" s="176">
        <v>221774</v>
      </c>
      <c r="O36" s="322">
        <v>156700</v>
      </c>
    </row>
    <row r="37" spans="1:22" ht="30" customHeight="1">
      <c r="A37" s="165" t="s">
        <v>534</v>
      </c>
      <c r="B37" s="165" t="s">
        <v>540</v>
      </c>
      <c r="C37" s="183">
        <v>1211577</v>
      </c>
      <c r="D37" s="183">
        <v>1023635</v>
      </c>
      <c r="E37" s="183">
        <v>838637</v>
      </c>
      <c r="F37" s="183">
        <v>463302</v>
      </c>
      <c r="G37" s="183">
        <v>463302</v>
      </c>
      <c r="H37" s="183">
        <v>506696</v>
      </c>
      <c r="I37" s="183">
        <v>804390</v>
      </c>
      <c r="J37" s="183">
        <v>707934</v>
      </c>
      <c r="K37" s="183">
        <v>783277</v>
      </c>
      <c r="L37" s="183">
        <v>766606</v>
      </c>
      <c r="M37" s="183">
        <v>710560</v>
      </c>
      <c r="N37" s="183">
        <v>1059213</v>
      </c>
      <c r="O37" s="325">
        <v>838927</v>
      </c>
    </row>
    <row r="38" spans="1:22">
      <c r="A38" s="169" t="s">
        <v>535</v>
      </c>
      <c r="B38" s="169" t="s">
        <v>536</v>
      </c>
      <c r="C38" s="170">
        <f>C36+C37</f>
        <v>1359523</v>
      </c>
      <c r="D38" s="170">
        <f t="shared" ref="D38" si="28">D36+D37</f>
        <v>1186008</v>
      </c>
      <c r="E38" s="170">
        <f t="shared" ref="E38" si="29">E36+E37</f>
        <v>992306</v>
      </c>
      <c r="F38" s="170">
        <f t="shared" ref="F38:G38" si="30">F36+F37</f>
        <v>578798</v>
      </c>
      <c r="G38" s="170">
        <f t="shared" si="30"/>
        <v>578798</v>
      </c>
      <c r="H38" s="170">
        <f t="shared" ref="H38" si="31">H36+H37</f>
        <v>642311</v>
      </c>
      <c r="I38" s="170">
        <f t="shared" ref="I38" si="32">I36+I37</f>
        <v>951207</v>
      </c>
      <c r="J38" s="170">
        <f t="shared" ref="J38" si="33">J36+J37</f>
        <v>848089</v>
      </c>
      <c r="K38" s="170">
        <f t="shared" ref="K38" si="34">K36+K37</f>
        <v>912482</v>
      </c>
      <c r="L38" s="170">
        <f t="shared" ref="L38:M38" si="35">L36+L37</f>
        <v>910434</v>
      </c>
      <c r="M38" s="170">
        <f t="shared" si="35"/>
        <v>882794</v>
      </c>
      <c r="N38" s="170">
        <f t="shared" ref="N38" si="36">N36+N37</f>
        <v>1280987</v>
      </c>
      <c r="O38" s="324">
        <f>O36+O37</f>
        <v>995627</v>
      </c>
    </row>
    <row r="39" spans="1:22">
      <c r="A39" s="306"/>
      <c r="B39" s="306"/>
      <c r="C39" s="346">
        <f>C32+C38-BS!D29</f>
        <v>0</v>
      </c>
      <c r="D39" s="346">
        <f>D32+D38-BS!E29</f>
        <v>0</v>
      </c>
      <c r="E39" s="346">
        <f>E32+E38-BS!F29</f>
        <v>0</v>
      </c>
      <c r="F39" s="346">
        <f>F32+F38-BS!G29</f>
        <v>0</v>
      </c>
      <c r="G39" s="346">
        <f>G32+G38-BS!H29</f>
        <v>0</v>
      </c>
      <c r="H39" s="346">
        <f>H32+H38-BS!I29</f>
        <v>0</v>
      </c>
      <c r="I39" s="346">
        <f>I32+I38-BS!J29</f>
        <v>0</v>
      </c>
      <c r="J39" s="346">
        <f>J32+J38-BS!K29</f>
        <v>0</v>
      </c>
      <c r="K39" s="346">
        <f>K32+K38-BS!L29</f>
        <v>0</v>
      </c>
      <c r="L39" s="346">
        <f>L32+L38-BS!M29</f>
        <v>0</v>
      </c>
      <c r="M39" s="346">
        <f>M32+M38-BS!N29</f>
        <v>0</v>
      </c>
      <c r="N39" s="346">
        <f>N32+N38-BS!O29</f>
        <v>0</v>
      </c>
      <c r="O39" s="346">
        <f>O32+O38-BS!P29</f>
        <v>0</v>
      </c>
      <c r="P39" s="306"/>
    </row>
    <row r="40" spans="1:22">
      <c r="A40" s="306"/>
      <c r="B40" s="345" t="s">
        <v>662</v>
      </c>
      <c r="C40" s="338"/>
      <c r="D40" s="338"/>
      <c r="E40" s="338"/>
      <c r="F40" s="338"/>
      <c r="G40" s="338"/>
      <c r="H40" s="338"/>
      <c r="I40" s="338"/>
      <c r="J40" s="338"/>
      <c r="K40" s="338"/>
      <c r="L40" s="338"/>
      <c r="M40" s="338"/>
      <c r="N40" s="338"/>
      <c r="O40" s="338"/>
      <c r="P40" s="306"/>
    </row>
    <row r="41" spans="1:22">
      <c r="A41" s="351"/>
      <c r="B41" s="350" t="s">
        <v>661</v>
      </c>
      <c r="C41" s="358"/>
      <c r="D41" s="358"/>
      <c r="E41" s="358"/>
      <c r="F41" s="358"/>
      <c r="G41" s="358"/>
      <c r="H41" s="358"/>
      <c r="I41" s="358"/>
      <c r="J41" s="358"/>
      <c r="K41" s="358"/>
      <c r="L41" s="358"/>
      <c r="M41" s="358"/>
      <c r="N41" s="358"/>
      <c r="O41" s="358"/>
      <c r="P41" s="306"/>
    </row>
    <row r="42" spans="1:22">
      <c r="A42" s="351"/>
      <c r="B42" s="351"/>
      <c r="C42" s="358"/>
      <c r="D42" s="358"/>
      <c r="E42" s="358"/>
      <c r="F42" s="358"/>
      <c r="G42" s="358"/>
      <c r="H42" s="358"/>
      <c r="I42" s="358"/>
      <c r="J42" s="358"/>
      <c r="K42" s="358"/>
      <c r="L42" s="358"/>
      <c r="M42" s="358"/>
      <c r="N42" s="358"/>
      <c r="O42" s="358"/>
      <c r="P42" s="306"/>
    </row>
    <row r="43" spans="1:22">
      <c r="A43" s="358"/>
      <c r="B43" s="358"/>
      <c r="C43" s="358"/>
      <c r="D43" s="358"/>
      <c r="E43" s="358"/>
      <c r="F43" s="358"/>
      <c r="G43" s="358"/>
      <c r="H43" s="358"/>
      <c r="I43" s="358"/>
      <c r="J43" s="358"/>
      <c r="K43" s="358"/>
      <c r="L43" s="358"/>
      <c r="M43" s="358"/>
      <c r="N43" s="358"/>
      <c r="O43" s="358"/>
      <c r="P43" s="361"/>
      <c r="Q43" s="361"/>
    </row>
    <row r="44" spans="1:22" s="161" customFormat="1" ht="14.25">
      <c r="A44" s="362"/>
      <c r="B44" s="362"/>
      <c r="C44" s="359"/>
      <c r="D44" s="359"/>
      <c r="E44" s="359"/>
      <c r="F44" s="359"/>
      <c r="G44" s="359"/>
      <c r="H44" s="359"/>
      <c r="I44" s="359"/>
      <c r="J44" s="359"/>
      <c r="K44" s="359"/>
      <c r="L44" s="359"/>
      <c r="M44" s="359"/>
      <c r="N44" s="359"/>
      <c r="O44" s="359"/>
      <c r="P44" s="363"/>
      <c r="Q44" s="363"/>
    </row>
    <row r="45" spans="1:22">
      <c r="A45" s="358"/>
      <c r="B45" s="358"/>
      <c r="C45" s="358"/>
      <c r="D45" s="358"/>
      <c r="E45" s="358"/>
      <c r="F45" s="358"/>
      <c r="G45" s="358"/>
      <c r="H45" s="358"/>
      <c r="I45" s="358"/>
      <c r="J45" s="358"/>
      <c r="K45" s="358"/>
      <c r="L45" s="358"/>
      <c r="M45" s="358"/>
      <c r="N45" s="358"/>
      <c r="O45" s="358"/>
      <c r="P45" s="361"/>
      <c r="Q45" s="361"/>
    </row>
    <row r="46" spans="1:22">
      <c r="A46" s="364"/>
      <c r="B46" s="364"/>
      <c r="C46" s="364"/>
      <c r="D46" s="364"/>
      <c r="E46" s="364"/>
      <c r="F46" s="364"/>
      <c r="G46" s="364"/>
      <c r="H46" s="364"/>
      <c r="I46" s="364"/>
      <c r="J46" s="364"/>
      <c r="K46" s="364"/>
      <c r="L46" s="364"/>
      <c r="M46" s="364"/>
      <c r="N46" s="364"/>
      <c r="O46" s="364"/>
      <c r="P46" s="361"/>
      <c r="Q46" s="361"/>
    </row>
    <row r="47" spans="1:22">
      <c r="A47" s="361"/>
      <c r="B47" s="361"/>
      <c r="C47" s="361"/>
      <c r="D47" s="361"/>
      <c r="E47" s="361"/>
      <c r="F47" s="361"/>
      <c r="G47" s="361"/>
      <c r="H47" s="361"/>
      <c r="I47" s="361"/>
      <c r="J47" s="361"/>
      <c r="K47" s="361"/>
      <c r="L47" s="361"/>
      <c r="M47" s="361"/>
      <c r="N47" s="361"/>
      <c r="O47" s="361"/>
      <c r="P47" s="361"/>
      <c r="Q47" s="361"/>
    </row>
    <row r="48" spans="1:22">
      <c r="A48" s="361"/>
      <c r="B48" s="361"/>
      <c r="C48" s="361"/>
      <c r="D48" s="361"/>
      <c r="E48" s="361"/>
      <c r="F48" s="361"/>
      <c r="G48" s="361"/>
      <c r="H48" s="361"/>
      <c r="I48" s="361"/>
      <c r="J48" s="361"/>
      <c r="K48" s="361"/>
      <c r="L48" s="361"/>
      <c r="M48" s="361"/>
      <c r="N48" s="361"/>
      <c r="O48" s="361"/>
      <c r="P48" s="361"/>
      <c r="Q48" s="361"/>
    </row>
    <row r="49" spans="1:17">
      <c r="A49" s="361"/>
      <c r="B49" s="361"/>
      <c r="C49" s="361"/>
      <c r="D49" s="361"/>
      <c r="E49" s="361"/>
      <c r="F49" s="361"/>
      <c r="G49" s="361"/>
      <c r="H49" s="361"/>
      <c r="I49" s="361"/>
      <c r="J49" s="361"/>
      <c r="K49" s="361"/>
      <c r="L49" s="361"/>
      <c r="M49" s="361"/>
      <c r="N49" s="361"/>
      <c r="O49" s="361"/>
      <c r="P49" s="361"/>
      <c r="Q49" s="361"/>
    </row>
    <row r="50" spans="1:17">
      <c r="A50" s="361"/>
      <c r="B50" s="361"/>
      <c r="C50" s="361"/>
      <c r="D50" s="361"/>
      <c r="E50" s="361"/>
      <c r="F50" s="361"/>
      <c r="G50" s="361"/>
      <c r="H50" s="361"/>
      <c r="I50" s="361"/>
      <c r="J50" s="361"/>
      <c r="K50" s="361"/>
      <c r="L50" s="361"/>
      <c r="M50" s="361"/>
      <c r="N50" s="361"/>
      <c r="O50" s="361"/>
      <c r="P50" s="361"/>
      <c r="Q50" s="361"/>
    </row>
    <row r="51" spans="1:17">
      <c r="A51" s="361"/>
      <c r="B51" s="361"/>
      <c r="C51" s="361"/>
      <c r="D51" s="361"/>
      <c r="E51" s="361"/>
      <c r="F51" s="361"/>
      <c r="G51" s="361"/>
      <c r="H51" s="361"/>
      <c r="I51" s="361"/>
      <c r="J51" s="361"/>
      <c r="K51" s="361"/>
      <c r="L51" s="361"/>
      <c r="M51" s="361"/>
      <c r="N51" s="361"/>
      <c r="O51" s="361"/>
      <c r="P51" s="361"/>
      <c r="Q51" s="361"/>
    </row>
    <row r="52" spans="1:17">
      <c r="A52" s="361"/>
      <c r="B52" s="361"/>
      <c r="C52" s="361"/>
      <c r="D52" s="361"/>
      <c r="E52" s="361"/>
      <c r="F52" s="361"/>
      <c r="G52" s="361"/>
      <c r="H52" s="361"/>
      <c r="I52" s="361"/>
      <c r="J52" s="361"/>
      <c r="K52" s="361"/>
      <c r="L52" s="361"/>
      <c r="M52" s="361"/>
      <c r="N52" s="361"/>
      <c r="O52" s="361"/>
      <c r="P52" s="361"/>
      <c r="Q52" s="361"/>
    </row>
    <row r="53" spans="1:17">
      <c r="A53" s="361"/>
      <c r="B53" s="361"/>
      <c r="C53" s="361"/>
      <c r="D53" s="361"/>
      <c r="E53" s="361"/>
      <c r="F53" s="361"/>
      <c r="G53" s="361"/>
      <c r="H53" s="361"/>
      <c r="I53" s="361"/>
      <c r="J53" s="361"/>
      <c r="K53" s="361"/>
      <c r="L53" s="361"/>
      <c r="M53" s="361"/>
      <c r="N53" s="361"/>
      <c r="O53" s="361"/>
      <c r="P53" s="361"/>
      <c r="Q53" s="361"/>
    </row>
    <row r="54" spans="1:17">
      <c r="A54" s="361"/>
      <c r="B54" s="361"/>
      <c r="C54" s="361"/>
      <c r="D54" s="361"/>
      <c r="E54" s="361"/>
      <c r="F54" s="361"/>
      <c r="G54" s="361"/>
      <c r="H54" s="361"/>
      <c r="I54" s="361"/>
      <c r="J54" s="361"/>
      <c r="K54" s="361"/>
      <c r="L54" s="361"/>
      <c r="M54" s="361"/>
      <c r="N54" s="361"/>
      <c r="O54" s="361"/>
      <c r="P54" s="361"/>
      <c r="Q54" s="361"/>
    </row>
    <row r="55" spans="1:17">
      <c r="A55" s="361"/>
      <c r="B55" s="361"/>
      <c r="C55" s="361"/>
      <c r="D55" s="361"/>
      <c r="E55" s="361"/>
      <c r="F55" s="361"/>
      <c r="G55" s="361"/>
      <c r="H55" s="361"/>
      <c r="I55" s="361"/>
      <c r="J55" s="361"/>
      <c r="K55" s="361"/>
      <c r="L55" s="361"/>
      <c r="M55" s="361"/>
      <c r="N55" s="361"/>
      <c r="O55" s="361"/>
      <c r="P55" s="361"/>
      <c r="Q55" s="361"/>
    </row>
    <row r="56" spans="1:17">
      <c r="A56" s="361"/>
      <c r="B56" s="361"/>
      <c r="C56" s="361"/>
      <c r="D56" s="361"/>
      <c r="E56" s="361"/>
      <c r="F56" s="361"/>
      <c r="G56" s="361"/>
      <c r="H56" s="361"/>
      <c r="I56" s="361"/>
      <c r="J56" s="361"/>
      <c r="K56" s="361"/>
      <c r="L56" s="361"/>
      <c r="M56" s="361"/>
      <c r="N56" s="361"/>
      <c r="O56" s="361"/>
      <c r="P56" s="361"/>
      <c r="Q56" s="361"/>
    </row>
    <row r="57" spans="1:17">
      <c r="A57" s="361"/>
      <c r="B57" s="361"/>
      <c r="C57" s="361"/>
      <c r="D57" s="361"/>
      <c r="E57" s="361"/>
      <c r="F57" s="361"/>
      <c r="G57" s="361"/>
      <c r="H57" s="361"/>
      <c r="I57" s="361"/>
      <c r="J57" s="361"/>
      <c r="K57" s="361"/>
      <c r="L57" s="361"/>
      <c r="M57" s="361"/>
      <c r="N57" s="361"/>
      <c r="O57" s="361"/>
      <c r="P57" s="361"/>
      <c r="Q57" s="361"/>
    </row>
    <row r="58" spans="1:17">
      <c r="A58" s="361"/>
      <c r="B58" s="361"/>
      <c r="C58" s="361"/>
      <c r="D58" s="361"/>
      <c r="E58" s="361"/>
      <c r="F58" s="361"/>
      <c r="G58" s="361"/>
      <c r="H58" s="361"/>
      <c r="I58" s="361"/>
      <c r="J58" s="361"/>
      <c r="K58" s="361"/>
      <c r="L58" s="361"/>
      <c r="M58" s="361"/>
      <c r="N58" s="361"/>
      <c r="O58" s="361"/>
      <c r="P58" s="361"/>
      <c r="Q58" s="361"/>
    </row>
    <row r="59" spans="1:17">
      <c r="A59" s="361"/>
      <c r="B59" s="361"/>
      <c r="C59" s="361"/>
      <c r="D59" s="361"/>
      <c r="E59" s="361"/>
      <c r="F59" s="361"/>
      <c r="G59" s="361"/>
      <c r="H59" s="361"/>
      <c r="I59" s="361"/>
      <c r="J59" s="361"/>
      <c r="K59" s="361"/>
      <c r="L59" s="361"/>
      <c r="M59" s="361"/>
      <c r="N59" s="361"/>
      <c r="O59" s="361"/>
      <c r="P59" s="361"/>
      <c r="Q59" s="361"/>
    </row>
    <row r="60" spans="1:17">
      <c r="A60" s="361"/>
      <c r="B60" s="361"/>
      <c r="C60" s="361"/>
      <c r="D60" s="361"/>
      <c r="E60" s="361"/>
      <c r="F60" s="361"/>
      <c r="G60" s="361"/>
      <c r="H60" s="361"/>
      <c r="I60" s="361"/>
      <c r="J60" s="361"/>
      <c r="K60" s="361"/>
      <c r="L60" s="361"/>
      <c r="M60" s="361"/>
      <c r="N60" s="361"/>
      <c r="O60" s="361"/>
      <c r="P60" s="361"/>
      <c r="Q60" s="361"/>
    </row>
    <row r="61" spans="1:17">
      <c r="A61" s="361"/>
      <c r="B61" s="361"/>
      <c r="C61" s="361"/>
      <c r="D61" s="361"/>
      <c r="E61" s="361"/>
      <c r="F61" s="361"/>
      <c r="G61" s="361"/>
      <c r="H61" s="361"/>
      <c r="I61" s="361"/>
      <c r="J61" s="361"/>
      <c r="K61" s="361"/>
      <c r="L61" s="361"/>
      <c r="M61" s="361"/>
      <c r="N61" s="361"/>
      <c r="O61" s="361"/>
      <c r="P61" s="361"/>
      <c r="Q61" s="361"/>
    </row>
    <row r="62" spans="1:17">
      <c r="A62" s="361"/>
      <c r="B62" s="361"/>
      <c r="C62" s="361"/>
      <c r="D62" s="361"/>
      <c r="E62" s="361"/>
      <c r="F62" s="361"/>
      <c r="G62" s="361"/>
      <c r="H62" s="361"/>
      <c r="I62" s="361"/>
      <c r="J62" s="361"/>
      <c r="K62" s="361"/>
      <c r="L62" s="361"/>
      <c r="M62" s="361"/>
      <c r="N62" s="361"/>
      <c r="O62" s="361"/>
      <c r="P62" s="361"/>
      <c r="Q62" s="361"/>
    </row>
    <row r="63" spans="1:17">
      <c r="A63" s="361"/>
      <c r="B63" s="361"/>
      <c r="C63" s="361"/>
      <c r="D63" s="361"/>
      <c r="E63" s="361"/>
      <c r="F63" s="361"/>
      <c r="G63" s="361"/>
      <c r="H63" s="361"/>
      <c r="I63" s="361"/>
      <c r="J63" s="361"/>
      <c r="K63" s="361"/>
      <c r="L63" s="361"/>
      <c r="M63" s="361"/>
      <c r="N63" s="361"/>
      <c r="O63" s="361"/>
      <c r="P63" s="361"/>
      <c r="Q63" s="361"/>
    </row>
    <row r="64" spans="1:17">
      <c r="A64" s="361"/>
      <c r="B64" s="361"/>
      <c r="C64" s="361"/>
      <c r="D64" s="361"/>
      <c r="E64" s="361"/>
      <c r="F64" s="361"/>
      <c r="G64" s="361"/>
      <c r="H64" s="361"/>
      <c r="I64" s="361"/>
      <c r="J64" s="361"/>
      <c r="K64" s="361"/>
      <c r="L64" s="361"/>
      <c r="M64" s="361"/>
      <c r="N64" s="361"/>
      <c r="O64" s="361"/>
      <c r="P64" s="361"/>
      <c r="Q64" s="361"/>
    </row>
    <row r="65" spans="1:17">
      <c r="A65" s="361"/>
      <c r="B65" s="361"/>
      <c r="C65" s="361"/>
      <c r="D65" s="361"/>
      <c r="E65" s="361"/>
      <c r="F65" s="361"/>
      <c r="G65" s="361"/>
      <c r="H65" s="361"/>
      <c r="I65" s="361"/>
      <c r="J65" s="361"/>
      <c r="K65" s="361"/>
      <c r="L65" s="361"/>
      <c r="M65" s="361"/>
      <c r="N65" s="361"/>
      <c r="O65" s="361"/>
      <c r="P65" s="361"/>
      <c r="Q65" s="361"/>
    </row>
    <row r="66" spans="1:17">
      <c r="A66" s="361"/>
      <c r="B66" s="361"/>
      <c r="C66" s="361"/>
      <c r="D66" s="361"/>
      <c r="E66" s="361"/>
      <c r="F66" s="361"/>
      <c r="G66" s="361"/>
      <c r="H66" s="361"/>
      <c r="I66" s="361"/>
      <c r="J66" s="361"/>
      <c r="K66" s="361"/>
      <c r="L66" s="361"/>
      <c r="M66" s="361"/>
      <c r="N66" s="361"/>
      <c r="O66" s="361"/>
      <c r="P66" s="361"/>
      <c r="Q66" s="361"/>
    </row>
    <row r="67" spans="1:17">
      <c r="A67" s="361"/>
      <c r="B67" s="361"/>
      <c r="C67" s="361"/>
      <c r="D67" s="361"/>
      <c r="E67" s="361"/>
      <c r="F67" s="361"/>
      <c r="G67" s="361"/>
      <c r="H67" s="361"/>
      <c r="I67" s="361"/>
      <c r="J67" s="361"/>
      <c r="K67" s="361"/>
      <c r="L67" s="361"/>
      <c r="M67" s="361"/>
      <c r="N67" s="361"/>
      <c r="O67" s="361"/>
      <c r="P67" s="361"/>
      <c r="Q67" s="361"/>
    </row>
    <row r="68" spans="1:17">
      <c r="A68" s="361"/>
      <c r="B68" s="361"/>
      <c r="C68" s="361"/>
      <c r="D68" s="361"/>
      <c r="E68" s="361"/>
      <c r="F68" s="361"/>
      <c r="G68" s="361"/>
      <c r="H68" s="361"/>
      <c r="I68" s="361"/>
      <c r="J68" s="361"/>
      <c r="K68" s="361"/>
      <c r="L68" s="361"/>
      <c r="M68" s="361"/>
      <c r="N68" s="361"/>
      <c r="O68" s="361"/>
      <c r="P68" s="361"/>
      <c r="Q68" s="361"/>
    </row>
    <row r="69" spans="1:17">
      <c r="A69" s="361"/>
      <c r="B69" s="361"/>
      <c r="C69" s="361"/>
      <c r="D69" s="361"/>
      <c r="E69" s="361"/>
      <c r="F69" s="361"/>
      <c r="G69" s="361"/>
      <c r="H69" s="361"/>
      <c r="I69" s="361"/>
      <c r="J69" s="361"/>
      <c r="K69" s="361"/>
      <c r="L69" s="361"/>
      <c r="M69" s="361"/>
      <c r="N69" s="361"/>
      <c r="O69" s="361"/>
      <c r="P69" s="361"/>
      <c r="Q69" s="361"/>
    </row>
    <row r="70" spans="1:17">
      <c r="A70" s="361"/>
      <c r="B70" s="361"/>
      <c r="C70" s="361"/>
      <c r="D70" s="361"/>
      <c r="E70" s="361"/>
      <c r="F70" s="361"/>
      <c r="G70" s="361"/>
      <c r="H70" s="361"/>
      <c r="I70" s="361"/>
      <c r="J70" s="361"/>
      <c r="K70" s="361"/>
      <c r="L70" s="361"/>
      <c r="M70" s="361"/>
      <c r="N70" s="361"/>
      <c r="O70" s="361"/>
      <c r="P70" s="361"/>
      <c r="Q70" s="361"/>
    </row>
    <row r="71" spans="1:17">
      <c r="A71" s="361"/>
      <c r="B71" s="361"/>
      <c r="C71" s="361"/>
      <c r="D71" s="361"/>
      <c r="E71" s="361"/>
      <c r="F71" s="361"/>
      <c r="G71" s="361"/>
      <c r="H71" s="361"/>
      <c r="I71" s="361"/>
      <c r="J71" s="361"/>
      <c r="K71" s="361"/>
      <c r="L71" s="361"/>
      <c r="M71" s="361"/>
      <c r="N71" s="361"/>
      <c r="O71" s="361"/>
      <c r="P71" s="361"/>
      <c r="Q71" s="361"/>
    </row>
    <row r="72" spans="1:17">
      <c r="A72" s="361"/>
      <c r="B72" s="361"/>
      <c r="C72" s="361"/>
      <c r="D72" s="361"/>
      <c r="E72" s="361"/>
      <c r="F72" s="361"/>
      <c r="G72" s="361"/>
      <c r="H72" s="361"/>
      <c r="I72" s="361"/>
      <c r="J72" s="361"/>
      <c r="K72" s="361"/>
      <c r="L72" s="361"/>
      <c r="M72" s="361"/>
      <c r="N72" s="361"/>
      <c r="O72" s="361"/>
      <c r="P72" s="361"/>
      <c r="Q72" s="361"/>
    </row>
    <row r="73" spans="1:17">
      <c r="A73" s="361"/>
      <c r="B73" s="361"/>
      <c r="C73" s="361"/>
      <c r="D73" s="361"/>
      <c r="E73" s="361"/>
      <c r="F73" s="361"/>
      <c r="G73" s="361"/>
      <c r="H73" s="361"/>
      <c r="I73" s="361"/>
      <c r="J73" s="361"/>
      <c r="K73" s="361"/>
      <c r="L73" s="361"/>
      <c r="M73" s="361"/>
      <c r="N73" s="361"/>
      <c r="O73" s="361"/>
      <c r="P73" s="361"/>
      <c r="Q73" s="361"/>
    </row>
    <row r="74" spans="1:17">
      <c r="A74" s="361"/>
      <c r="B74" s="361"/>
      <c r="C74" s="361"/>
      <c r="D74" s="361"/>
      <c r="E74" s="361"/>
      <c r="F74" s="361"/>
      <c r="G74" s="361"/>
      <c r="H74" s="361"/>
      <c r="I74" s="361"/>
      <c r="J74" s="361"/>
      <c r="K74" s="361"/>
      <c r="L74" s="361"/>
      <c r="M74" s="361"/>
      <c r="N74" s="361"/>
      <c r="O74" s="361"/>
      <c r="P74" s="361"/>
      <c r="Q74" s="361"/>
    </row>
    <row r="75" spans="1:17">
      <c r="A75" s="361"/>
      <c r="B75" s="361"/>
      <c r="C75" s="361"/>
      <c r="D75" s="361"/>
      <c r="E75" s="361"/>
      <c r="F75" s="361"/>
      <c r="G75" s="361"/>
      <c r="H75" s="361"/>
      <c r="I75" s="361"/>
      <c r="J75" s="361"/>
      <c r="K75" s="361"/>
      <c r="L75" s="361"/>
      <c r="M75" s="361"/>
      <c r="N75" s="361"/>
      <c r="O75" s="361"/>
      <c r="P75" s="361"/>
      <c r="Q75" s="361"/>
    </row>
    <row r="76" spans="1:17">
      <c r="A76" s="361"/>
      <c r="B76" s="361"/>
      <c r="C76" s="361"/>
      <c r="D76" s="361"/>
      <c r="E76" s="361"/>
      <c r="F76" s="361"/>
      <c r="G76" s="361"/>
      <c r="H76" s="361"/>
      <c r="I76" s="361"/>
      <c r="J76" s="361"/>
      <c r="K76" s="361"/>
      <c r="L76" s="361"/>
      <c r="M76" s="361"/>
      <c r="N76" s="361"/>
      <c r="O76" s="361"/>
      <c r="P76" s="361"/>
      <c r="Q76" s="361"/>
    </row>
    <row r="77" spans="1:17">
      <c r="A77" s="361"/>
      <c r="B77" s="361"/>
      <c r="C77" s="361"/>
      <c r="D77" s="361"/>
      <c r="E77" s="361"/>
      <c r="F77" s="361"/>
      <c r="G77" s="361"/>
      <c r="H77" s="361"/>
      <c r="I77" s="361"/>
      <c r="J77" s="361"/>
      <c r="K77" s="361"/>
      <c r="L77" s="361"/>
      <c r="M77" s="361"/>
      <c r="N77" s="361"/>
      <c r="O77" s="361"/>
      <c r="P77" s="361"/>
      <c r="Q77" s="361"/>
    </row>
    <row r="78" spans="1:17">
      <c r="A78" s="361"/>
      <c r="B78" s="361"/>
      <c r="C78" s="361"/>
      <c r="D78" s="361"/>
      <c r="E78" s="361"/>
      <c r="F78" s="361"/>
      <c r="G78" s="361"/>
      <c r="H78" s="361"/>
      <c r="I78" s="361"/>
      <c r="J78" s="361"/>
      <c r="K78" s="361"/>
      <c r="L78" s="361"/>
      <c r="M78" s="361"/>
      <c r="N78" s="361"/>
      <c r="O78" s="361"/>
      <c r="P78" s="361"/>
      <c r="Q78" s="361"/>
    </row>
    <row r="79" spans="1:17">
      <c r="A79" s="361"/>
      <c r="B79" s="361"/>
      <c r="C79" s="361"/>
      <c r="D79" s="361"/>
      <c r="E79" s="361"/>
      <c r="F79" s="361"/>
      <c r="G79" s="361"/>
      <c r="H79" s="361"/>
      <c r="I79" s="361"/>
      <c r="J79" s="361"/>
      <c r="K79" s="361"/>
      <c r="L79" s="361"/>
      <c r="M79" s="361"/>
      <c r="N79" s="361"/>
      <c r="O79" s="361"/>
      <c r="P79" s="361"/>
      <c r="Q79" s="361"/>
    </row>
    <row r="80" spans="1:17">
      <c r="A80" s="361"/>
      <c r="B80" s="361"/>
      <c r="C80" s="361"/>
      <c r="D80" s="361"/>
      <c r="E80" s="361"/>
      <c r="F80" s="361"/>
      <c r="G80" s="361"/>
      <c r="H80" s="361"/>
      <c r="I80" s="361"/>
      <c r="J80" s="361"/>
      <c r="K80" s="361"/>
      <c r="L80" s="361"/>
      <c r="M80" s="361"/>
      <c r="N80" s="361"/>
      <c r="O80" s="361"/>
      <c r="P80" s="361"/>
      <c r="Q80" s="361"/>
    </row>
    <row r="81" spans="1:17">
      <c r="A81" s="361"/>
      <c r="B81" s="361"/>
      <c r="C81" s="361"/>
      <c r="D81" s="361"/>
      <c r="E81" s="361"/>
      <c r="F81" s="361"/>
      <c r="G81" s="361"/>
      <c r="H81" s="361"/>
      <c r="I81" s="361"/>
      <c r="J81" s="361"/>
      <c r="K81" s="361"/>
      <c r="L81" s="361"/>
      <c r="M81" s="361"/>
      <c r="N81" s="361"/>
      <c r="O81" s="361"/>
      <c r="P81" s="361"/>
      <c r="Q81" s="361"/>
    </row>
    <row r="82" spans="1:17">
      <c r="A82" s="361"/>
      <c r="B82" s="361"/>
      <c r="C82" s="361"/>
      <c r="D82" s="361"/>
      <c r="E82" s="361"/>
      <c r="F82" s="361"/>
      <c r="G82" s="361"/>
      <c r="H82" s="361"/>
      <c r="I82" s="361"/>
      <c r="J82" s="361"/>
      <c r="K82" s="361"/>
      <c r="L82" s="361"/>
      <c r="M82" s="361"/>
      <c r="N82" s="361"/>
      <c r="O82" s="361"/>
      <c r="P82" s="361"/>
      <c r="Q82" s="361"/>
    </row>
    <row r="83" spans="1:17">
      <c r="A83" s="361"/>
      <c r="B83" s="361"/>
      <c r="C83" s="361"/>
      <c r="D83" s="361"/>
      <c r="E83" s="361"/>
      <c r="F83" s="361"/>
      <c r="G83" s="361"/>
      <c r="H83" s="361"/>
      <c r="I83" s="361"/>
      <c r="J83" s="361"/>
      <c r="K83" s="361"/>
      <c r="L83" s="361"/>
      <c r="M83" s="361"/>
      <c r="N83" s="361"/>
      <c r="O83" s="361"/>
      <c r="P83" s="361"/>
      <c r="Q83" s="361"/>
    </row>
    <row r="84" spans="1:17">
      <c r="A84" s="361"/>
      <c r="B84" s="361"/>
      <c r="C84" s="361"/>
      <c r="D84" s="361"/>
      <c r="E84" s="361"/>
      <c r="F84" s="361"/>
      <c r="G84" s="361"/>
      <c r="H84" s="361"/>
      <c r="I84" s="361"/>
      <c r="J84" s="361"/>
      <c r="K84" s="361"/>
      <c r="L84" s="361"/>
      <c r="M84" s="361"/>
      <c r="N84" s="361"/>
      <c r="O84" s="361"/>
      <c r="P84" s="361"/>
      <c r="Q84" s="361"/>
    </row>
    <row r="85" spans="1:17">
      <c r="A85" s="361"/>
      <c r="B85" s="361"/>
      <c r="C85" s="361"/>
      <c r="D85" s="361"/>
      <c r="E85" s="361"/>
      <c r="F85" s="361"/>
      <c r="G85" s="361"/>
      <c r="H85" s="361"/>
      <c r="I85" s="361"/>
      <c r="J85" s="361"/>
      <c r="K85" s="361"/>
      <c r="L85" s="361"/>
      <c r="M85" s="361"/>
      <c r="N85" s="361"/>
      <c r="O85" s="361"/>
      <c r="P85" s="361"/>
      <c r="Q85" s="361"/>
    </row>
    <row r="86" spans="1:17">
      <c r="A86" s="361"/>
      <c r="B86" s="361"/>
      <c r="C86" s="361"/>
      <c r="D86" s="361"/>
      <c r="E86" s="361"/>
      <c r="F86" s="361"/>
      <c r="G86" s="361"/>
      <c r="H86" s="361"/>
      <c r="I86" s="361"/>
      <c r="J86" s="361"/>
      <c r="K86" s="361"/>
      <c r="L86" s="361"/>
      <c r="M86" s="361"/>
      <c r="N86" s="361"/>
      <c r="O86" s="361"/>
      <c r="P86" s="361"/>
      <c r="Q86" s="361"/>
    </row>
    <row r="87" spans="1:17">
      <c r="A87" s="361"/>
      <c r="B87" s="361"/>
      <c r="C87" s="361"/>
      <c r="D87" s="361"/>
      <c r="E87" s="361"/>
      <c r="F87" s="361"/>
      <c r="G87" s="361"/>
      <c r="H87" s="361"/>
      <c r="I87" s="361"/>
      <c r="J87" s="361"/>
      <c r="K87" s="361"/>
      <c r="L87" s="361"/>
      <c r="M87" s="361"/>
      <c r="N87" s="361"/>
      <c r="O87" s="361"/>
      <c r="P87" s="361"/>
      <c r="Q87" s="361"/>
    </row>
    <row r="88" spans="1:17">
      <c r="A88" s="361"/>
      <c r="B88" s="361"/>
      <c r="C88" s="361"/>
      <c r="D88" s="361"/>
      <c r="E88" s="361"/>
      <c r="F88" s="361"/>
      <c r="G88" s="361"/>
      <c r="H88" s="361"/>
      <c r="I88" s="361"/>
      <c r="J88" s="361"/>
      <c r="K88" s="361"/>
      <c r="L88" s="361"/>
      <c r="M88" s="361"/>
      <c r="N88" s="361"/>
      <c r="O88" s="361"/>
      <c r="P88" s="361"/>
      <c r="Q88" s="361"/>
    </row>
    <row r="89" spans="1:17">
      <c r="A89" s="361"/>
      <c r="B89" s="361"/>
      <c r="C89" s="361"/>
      <c r="D89" s="361"/>
      <c r="E89" s="361"/>
      <c r="F89" s="361"/>
      <c r="G89" s="361"/>
      <c r="H89" s="361"/>
      <c r="I89" s="361"/>
      <c r="J89" s="361"/>
      <c r="K89" s="361"/>
      <c r="L89" s="361"/>
      <c r="M89" s="361"/>
      <c r="N89" s="361"/>
      <c r="O89" s="361"/>
      <c r="P89" s="361"/>
      <c r="Q89" s="361"/>
    </row>
    <row r="90" spans="1:17">
      <c r="A90" s="361"/>
      <c r="B90" s="361"/>
      <c r="C90" s="361"/>
      <c r="D90" s="361"/>
      <c r="E90" s="361"/>
      <c r="F90" s="361"/>
      <c r="G90" s="361"/>
      <c r="H90" s="361"/>
      <c r="I90" s="361"/>
      <c r="J90" s="361"/>
      <c r="K90" s="361"/>
      <c r="L90" s="361"/>
      <c r="M90" s="361"/>
      <c r="N90" s="361"/>
      <c r="O90" s="361"/>
      <c r="P90" s="361"/>
      <c r="Q90" s="361"/>
    </row>
    <row r="91" spans="1:17">
      <c r="A91" s="361"/>
      <c r="B91" s="361"/>
      <c r="C91" s="361"/>
      <c r="D91" s="361"/>
      <c r="E91" s="361"/>
      <c r="F91" s="361"/>
      <c r="G91" s="361"/>
      <c r="H91" s="361"/>
      <c r="I91" s="361"/>
      <c r="J91" s="361"/>
      <c r="K91" s="361"/>
      <c r="L91" s="361"/>
      <c r="M91" s="361"/>
      <c r="N91" s="361"/>
      <c r="O91" s="361"/>
      <c r="P91" s="361"/>
      <c r="Q91" s="361"/>
    </row>
    <row r="92" spans="1:17">
      <c r="A92" s="361"/>
      <c r="B92" s="361"/>
      <c r="C92" s="361"/>
      <c r="D92" s="361"/>
      <c r="E92" s="361"/>
      <c r="F92" s="361"/>
      <c r="G92" s="361"/>
      <c r="H92" s="361"/>
      <c r="I92" s="361"/>
      <c r="J92" s="361"/>
      <c r="K92" s="361"/>
      <c r="L92" s="361"/>
      <c r="M92" s="361"/>
      <c r="N92" s="361"/>
      <c r="O92" s="361"/>
      <c r="P92" s="361"/>
      <c r="Q92" s="361"/>
    </row>
    <row r="93" spans="1:17">
      <c r="A93" s="361"/>
      <c r="B93" s="361"/>
      <c r="C93" s="361"/>
      <c r="D93" s="361"/>
      <c r="E93" s="361"/>
      <c r="F93" s="361"/>
      <c r="G93" s="361"/>
      <c r="H93" s="361"/>
      <c r="I93" s="361"/>
      <c r="J93" s="361"/>
      <c r="K93" s="361"/>
      <c r="L93" s="361"/>
      <c r="M93" s="361"/>
      <c r="N93" s="361"/>
      <c r="O93" s="361"/>
      <c r="P93" s="361"/>
      <c r="Q93" s="361"/>
    </row>
    <row r="94" spans="1:17">
      <c r="A94" s="361"/>
      <c r="B94" s="361"/>
      <c r="C94" s="361"/>
      <c r="D94" s="361"/>
      <c r="E94" s="361"/>
      <c r="F94" s="361"/>
      <c r="G94" s="361"/>
      <c r="H94" s="361"/>
      <c r="I94" s="361"/>
      <c r="J94" s="361"/>
      <c r="K94" s="361"/>
      <c r="L94" s="361"/>
      <c r="M94" s="361"/>
      <c r="N94" s="361"/>
      <c r="O94" s="361"/>
      <c r="P94" s="361"/>
      <c r="Q94" s="361"/>
    </row>
    <row r="95" spans="1:17">
      <c r="A95" s="361"/>
      <c r="B95" s="361"/>
      <c r="C95" s="361"/>
      <c r="D95" s="361"/>
      <c r="E95" s="361"/>
      <c r="F95" s="361"/>
      <c r="G95" s="361"/>
      <c r="H95" s="361"/>
      <c r="I95" s="361"/>
      <c r="J95" s="361"/>
      <c r="K95" s="361"/>
      <c r="L95" s="361"/>
      <c r="M95" s="361"/>
      <c r="N95" s="361"/>
      <c r="O95" s="361"/>
      <c r="P95" s="361"/>
      <c r="Q95" s="361"/>
    </row>
    <row r="96" spans="1:17">
      <c r="A96" s="361"/>
      <c r="B96" s="361"/>
      <c r="C96" s="361"/>
      <c r="D96" s="361"/>
      <c r="E96" s="361"/>
      <c r="F96" s="361"/>
      <c r="G96" s="361"/>
      <c r="H96" s="361"/>
      <c r="I96" s="361"/>
      <c r="J96" s="361"/>
      <c r="K96" s="361"/>
      <c r="L96" s="361"/>
      <c r="M96" s="361"/>
      <c r="N96" s="361"/>
      <c r="O96" s="361"/>
      <c r="P96" s="361"/>
      <c r="Q96" s="361"/>
    </row>
    <row r="97" spans="1:17">
      <c r="A97" s="361"/>
      <c r="B97" s="361"/>
      <c r="C97" s="361"/>
      <c r="D97" s="361"/>
      <c r="E97" s="361"/>
      <c r="F97" s="361"/>
      <c r="G97" s="361"/>
      <c r="H97" s="361"/>
      <c r="I97" s="361"/>
      <c r="J97" s="361"/>
      <c r="K97" s="361"/>
      <c r="L97" s="361"/>
      <c r="M97" s="361"/>
      <c r="N97" s="361"/>
      <c r="O97" s="361"/>
      <c r="P97" s="361"/>
      <c r="Q97" s="361"/>
    </row>
    <row r="98" spans="1:17">
      <c r="A98" s="361"/>
      <c r="B98" s="361"/>
      <c r="C98" s="361"/>
      <c r="D98" s="361"/>
      <c r="E98" s="361"/>
      <c r="F98" s="361"/>
      <c r="G98" s="361"/>
      <c r="H98" s="361"/>
      <c r="I98" s="361"/>
      <c r="J98" s="361"/>
      <c r="K98" s="361"/>
      <c r="L98" s="361"/>
      <c r="M98" s="361"/>
      <c r="N98" s="361"/>
      <c r="O98" s="361"/>
      <c r="P98" s="361"/>
      <c r="Q98" s="361"/>
    </row>
    <row r="99" spans="1:17">
      <c r="A99" s="361"/>
      <c r="B99" s="361"/>
      <c r="C99" s="361"/>
      <c r="D99" s="361"/>
      <c r="E99" s="361"/>
      <c r="F99" s="361"/>
      <c r="G99" s="361"/>
      <c r="H99" s="361"/>
      <c r="I99" s="361"/>
      <c r="J99" s="361"/>
      <c r="K99" s="361"/>
      <c r="L99" s="361"/>
      <c r="M99" s="361"/>
      <c r="N99" s="361"/>
      <c r="O99" s="361"/>
      <c r="P99" s="361"/>
      <c r="Q99" s="361"/>
    </row>
    <row r="100" spans="1:17">
      <c r="A100" s="361"/>
      <c r="B100" s="361"/>
      <c r="C100" s="361"/>
      <c r="D100" s="361"/>
      <c r="E100" s="361"/>
      <c r="F100" s="361"/>
      <c r="G100" s="361"/>
      <c r="H100" s="361"/>
      <c r="I100" s="361"/>
      <c r="J100" s="361"/>
      <c r="K100" s="361"/>
      <c r="L100" s="361"/>
      <c r="M100" s="361"/>
      <c r="N100" s="361"/>
      <c r="O100" s="361"/>
      <c r="P100" s="361"/>
      <c r="Q100" s="361"/>
    </row>
    <row r="101" spans="1:17">
      <c r="A101" s="361"/>
      <c r="B101" s="361"/>
      <c r="C101" s="361"/>
      <c r="D101" s="361"/>
      <c r="E101" s="361"/>
      <c r="F101" s="361"/>
      <c r="G101" s="361"/>
      <c r="H101" s="361"/>
      <c r="I101" s="361"/>
      <c r="J101" s="361"/>
      <c r="K101" s="361"/>
      <c r="L101" s="361"/>
      <c r="M101" s="361"/>
      <c r="N101" s="361"/>
      <c r="O101" s="361"/>
      <c r="P101" s="361"/>
      <c r="Q101" s="361"/>
    </row>
    <row r="102" spans="1:17">
      <c r="A102" s="361"/>
      <c r="B102" s="361"/>
      <c r="C102" s="361"/>
      <c r="D102" s="361"/>
      <c r="E102" s="361"/>
      <c r="F102" s="361"/>
      <c r="G102" s="361"/>
      <c r="H102" s="361"/>
      <c r="I102" s="361"/>
      <c r="J102" s="361"/>
      <c r="K102" s="361"/>
      <c r="L102" s="361"/>
      <c r="M102" s="361"/>
      <c r="N102" s="361"/>
      <c r="O102" s="361"/>
      <c r="P102" s="361"/>
      <c r="Q102" s="361"/>
    </row>
    <row r="103" spans="1:17">
      <c r="A103" s="361"/>
      <c r="B103" s="361"/>
      <c r="C103" s="361"/>
      <c r="D103" s="361"/>
      <c r="E103" s="361"/>
      <c r="F103" s="361"/>
      <c r="G103" s="361"/>
      <c r="H103" s="361"/>
      <c r="I103" s="361"/>
      <c r="J103" s="361"/>
      <c r="K103" s="361"/>
      <c r="L103" s="361"/>
      <c r="M103" s="361"/>
      <c r="N103" s="361"/>
      <c r="O103" s="361"/>
      <c r="P103" s="361"/>
      <c r="Q103" s="361"/>
    </row>
    <row r="104" spans="1:17">
      <c r="A104" s="361"/>
      <c r="B104" s="361"/>
      <c r="C104" s="361"/>
      <c r="D104" s="361"/>
      <c r="E104" s="361"/>
      <c r="F104" s="361"/>
      <c r="G104" s="361"/>
      <c r="H104" s="361"/>
      <c r="I104" s="361"/>
      <c r="J104" s="361"/>
      <c r="K104" s="361"/>
      <c r="L104" s="361"/>
      <c r="M104" s="361"/>
      <c r="N104" s="361"/>
      <c r="O104" s="361"/>
      <c r="P104" s="361"/>
      <c r="Q104" s="361"/>
    </row>
    <row r="105" spans="1:17">
      <c r="A105" s="361"/>
      <c r="B105" s="361"/>
      <c r="C105" s="361"/>
      <c r="D105" s="361"/>
      <c r="E105" s="361"/>
      <c r="F105" s="361"/>
      <c r="G105" s="361"/>
      <c r="H105" s="361"/>
      <c r="I105" s="361"/>
      <c r="J105" s="361"/>
      <c r="K105" s="361"/>
      <c r="L105" s="361"/>
      <c r="M105" s="361"/>
      <c r="N105" s="361"/>
      <c r="O105" s="361"/>
      <c r="P105" s="361"/>
      <c r="Q105" s="361"/>
    </row>
    <row r="106" spans="1:17">
      <c r="A106" s="361"/>
      <c r="B106" s="361"/>
      <c r="C106" s="361"/>
      <c r="D106" s="361"/>
      <c r="E106" s="361"/>
      <c r="F106" s="361"/>
      <c r="G106" s="361"/>
      <c r="H106" s="361"/>
      <c r="I106" s="361"/>
      <c r="J106" s="361"/>
      <c r="K106" s="361"/>
      <c r="L106" s="361"/>
      <c r="M106" s="361"/>
      <c r="N106" s="361"/>
      <c r="O106" s="361"/>
      <c r="P106" s="361"/>
      <c r="Q106" s="361"/>
    </row>
    <row r="107" spans="1:17">
      <c r="A107" s="361"/>
      <c r="B107" s="361"/>
      <c r="C107" s="361"/>
      <c r="D107" s="361"/>
      <c r="E107" s="361"/>
      <c r="F107" s="361"/>
      <c r="G107" s="361"/>
      <c r="H107" s="361"/>
      <c r="I107" s="361"/>
      <c r="J107" s="361"/>
      <c r="K107" s="361"/>
      <c r="L107" s="361"/>
      <c r="M107" s="361"/>
      <c r="N107" s="361"/>
      <c r="O107" s="361"/>
      <c r="P107" s="361"/>
      <c r="Q107" s="361"/>
    </row>
    <row r="108" spans="1:17">
      <c r="A108" s="361"/>
      <c r="B108" s="361"/>
      <c r="C108" s="361"/>
      <c r="D108" s="361"/>
      <c r="E108" s="361"/>
      <c r="F108" s="361"/>
      <c r="G108" s="361"/>
      <c r="H108" s="361"/>
      <c r="I108" s="361"/>
      <c r="J108" s="361"/>
      <c r="K108" s="361"/>
      <c r="L108" s="361"/>
      <c r="M108" s="361"/>
      <c r="N108" s="361"/>
      <c r="O108" s="361"/>
      <c r="P108" s="361"/>
      <c r="Q108" s="361"/>
    </row>
    <row r="109" spans="1:17">
      <c r="A109" s="361"/>
      <c r="B109" s="361"/>
      <c r="C109" s="361"/>
      <c r="D109" s="361"/>
      <c r="E109" s="361"/>
      <c r="F109" s="361"/>
      <c r="G109" s="361"/>
      <c r="H109" s="361"/>
      <c r="I109" s="361"/>
      <c r="J109" s="361"/>
      <c r="K109" s="361"/>
      <c r="L109" s="361"/>
      <c r="M109" s="361"/>
      <c r="N109" s="361"/>
      <c r="O109" s="361"/>
      <c r="P109" s="361"/>
      <c r="Q109" s="361"/>
    </row>
    <row r="110" spans="1:17">
      <c r="A110" s="361"/>
      <c r="B110" s="361"/>
      <c r="C110" s="361"/>
      <c r="D110" s="361"/>
      <c r="E110" s="361"/>
      <c r="F110" s="361"/>
      <c r="G110" s="361"/>
      <c r="H110" s="361"/>
      <c r="I110" s="361"/>
      <c r="J110" s="361"/>
      <c r="K110" s="361"/>
      <c r="L110" s="361"/>
      <c r="M110" s="361"/>
      <c r="N110" s="361"/>
      <c r="O110" s="361"/>
      <c r="P110" s="361"/>
      <c r="Q110" s="361"/>
    </row>
    <row r="111" spans="1:17">
      <c r="A111" s="361"/>
      <c r="B111" s="361"/>
      <c r="C111" s="361"/>
      <c r="D111" s="361"/>
      <c r="E111" s="361"/>
      <c r="F111" s="361"/>
      <c r="G111" s="361"/>
      <c r="H111" s="361"/>
      <c r="I111" s="361"/>
      <c r="J111" s="361"/>
      <c r="K111" s="361"/>
      <c r="L111" s="361"/>
      <c r="M111" s="361"/>
      <c r="N111" s="361"/>
      <c r="O111" s="361"/>
      <c r="P111" s="361"/>
      <c r="Q111" s="361"/>
    </row>
    <row r="112" spans="1:17">
      <c r="A112" s="361"/>
      <c r="B112" s="361"/>
      <c r="C112" s="361"/>
      <c r="D112" s="361"/>
      <c r="E112" s="361"/>
      <c r="F112" s="361"/>
      <c r="G112" s="361"/>
      <c r="H112" s="361"/>
      <c r="I112" s="361"/>
      <c r="J112" s="361"/>
      <c r="K112" s="361"/>
      <c r="L112" s="361"/>
      <c r="M112" s="361"/>
      <c r="N112" s="361"/>
      <c r="O112" s="361"/>
      <c r="P112" s="361"/>
      <c r="Q112" s="361"/>
    </row>
    <row r="113" spans="1:17">
      <c r="A113" s="361"/>
      <c r="B113" s="361"/>
      <c r="C113" s="361"/>
      <c r="D113" s="361"/>
      <c r="E113" s="361"/>
      <c r="F113" s="361"/>
      <c r="G113" s="361"/>
      <c r="H113" s="361"/>
      <c r="I113" s="361"/>
      <c r="J113" s="361"/>
      <c r="K113" s="361"/>
      <c r="L113" s="361"/>
      <c r="M113" s="361"/>
      <c r="N113" s="361"/>
      <c r="O113" s="361"/>
      <c r="P113" s="361"/>
      <c r="Q113" s="361"/>
    </row>
    <row r="114" spans="1:17">
      <c r="A114" s="361"/>
      <c r="B114" s="361"/>
      <c r="C114" s="361"/>
      <c r="D114" s="361"/>
      <c r="E114" s="361"/>
      <c r="F114" s="361"/>
      <c r="G114" s="361"/>
      <c r="H114" s="361"/>
      <c r="I114" s="361"/>
      <c r="J114" s="361"/>
      <c r="K114" s="361"/>
      <c r="L114" s="361"/>
      <c r="M114" s="361"/>
      <c r="N114" s="361"/>
      <c r="O114" s="361"/>
      <c r="P114" s="361"/>
      <c r="Q114" s="361"/>
    </row>
    <row r="115" spans="1:17">
      <c r="A115" s="361"/>
      <c r="B115" s="361"/>
      <c r="C115" s="361"/>
      <c r="D115" s="361"/>
      <c r="E115" s="361"/>
      <c r="F115" s="361"/>
      <c r="G115" s="361"/>
      <c r="H115" s="361"/>
      <c r="I115" s="361"/>
      <c r="J115" s="361"/>
      <c r="K115" s="361"/>
      <c r="L115" s="361"/>
      <c r="M115" s="361"/>
      <c r="N115" s="361"/>
      <c r="O115" s="361"/>
      <c r="P115" s="361"/>
      <c r="Q115" s="361"/>
    </row>
    <row r="116" spans="1:17">
      <c r="A116" s="361"/>
      <c r="B116" s="361"/>
      <c r="C116" s="361"/>
      <c r="D116" s="361"/>
      <c r="E116" s="361"/>
      <c r="F116" s="361"/>
      <c r="G116" s="361"/>
      <c r="H116" s="361"/>
      <c r="I116" s="361"/>
      <c r="J116" s="361"/>
      <c r="K116" s="361"/>
      <c r="L116" s="361"/>
      <c r="M116" s="361"/>
      <c r="N116" s="361"/>
      <c r="O116" s="361"/>
      <c r="P116" s="361"/>
      <c r="Q116" s="361"/>
    </row>
    <row r="117" spans="1:17">
      <c r="A117" s="361"/>
      <c r="B117" s="361"/>
      <c r="C117" s="361"/>
      <c r="D117" s="361"/>
      <c r="E117" s="361"/>
      <c r="F117" s="361"/>
      <c r="G117" s="361"/>
      <c r="H117" s="361"/>
      <c r="I117" s="361"/>
      <c r="J117" s="361"/>
      <c r="K117" s="361"/>
      <c r="L117" s="361"/>
      <c r="M117" s="361"/>
      <c r="N117" s="361"/>
      <c r="O117" s="361"/>
      <c r="P117" s="361"/>
      <c r="Q117" s="361"/>
    </row>
    <row r="118" spans="1:17">
      <c r="A118" s="361"/>
      <c r="B118" s="361"/>
      <c r="C118" s="361"/>
      <c r="D118" s="361"/>
      <c r="E118" s="361"/>
      <c r="F118" s="361"/>
      <c r="G118" s="361"/>
      <c r="H118" s="361"/>
      <c r="I118" s="361"/>
      <c r="J118" s="361"/>
      <c r="K118" s="361"/>
      <c r="L118" s="361"/>
      <c r="M118" s="361"/>
      <c r="N118" s="361"/>
      <c r="O118" s="361"/>
      <c r="P118" s="361"/>
      <c r="Q118" s="361"/>
    </row>
    <row r="119" spans="1:17">
      <c r="A119" s="361"/>
      <c r="B119" s="361"/>
      <c r="C119" s="361"/>
      <c r="D119" s="361"/>
      <c r="E119" s="361"/>
      <c r="F119" s="361"/>
      <c r="G119" s="361"/>
      <c r="H119" s="361"/>
      <c r="I119" s="361"/>
      <c r="J119" s="361"/>
      <c r="K119" s="361"/>
      <c r="L119" s="361"/>
      <c r="M119" s="361"/>
      <c r="N119" s="361"/>
      <c r="O119" s="361"/>
      <c r="P119" s="361"/>
      <c r="Q119" s="361"/>
    </row>
    <row r="120" spans="1:17">
      <c r="A120" s="361"/>
      <c r="B120" s="361"/>
      <c r="C120" s="361"/>
      <c r="D120" s="361"/>
      <c r="E120" s="361"/>
      <c r="F120" s="361"/>
      <c r="G120" s="361"/>
      <c r="H120" s="361"/>
      <c r="I120" s="361"/>
      <c r="J120" s="361"/>
      <c r="K120" s="361"/>
      <c r="L120" s="361"/>
      <c r="M120" s="361"/>
      <c r="N120" s="361"/>
      <c r="O120" s="361"/>
      <c r="P120" s="361"/>
      <c r="Q120" s="361"/>
    </row>
    <row r="121" spans="1:17">
      <c r="A121" s="361"/>
      <c r="B121" s="361"/>
      <c r="C121" s="361"/>
      <c r="D121" s="361"/>
      <c r="E121" s="361"/>
      <c r="F121" s="361"/>
      <c r="G121" s="361"/>
      <c r="H121" s="361"/>
      <c r="I121" s="361"/>
      <c r="J121" s="361"/>
      <c r="K121" s="361"/>
      <c r="L121" s="361"/>
      <c r="M121" s="361"/>
      <c r="N121" s="361"/>
      <c r="O121" s="361"/>
      <c r="P121" s="361"/>
      <c r="Q121" s="361"/>
    </row>
    <row r="122" spans="1:17">
      <c r="A122" s="361"/>
      <c r="B122" s="361"/>
      <c r="C122" s="361"/>
      <c r="D122" s="361"/>
      <c r="E122" s="361"/>
      <c r="F122" s="361"/>
      <c r="G122" s="361"/>
      <c r="H122" s="361"/>
      <c r="I122" s="361"/>
      <c r="J122" s="361"/>
      <c r="K122" s="361"/>
      <c r="L122" s="361"/>
      <c r="M122" s="361"/>
      <c r="N122" s="361"/>
      <c r="O122" s="361"/>
      <c r="P122" s="361"/>
      <c r="Q122" s="361"/>
    </row>
    <row r="123" spans="1:17">
      <c r="A123" s="361"/>
      <c r="B123" s="361"/>
      <c r="C123" s="361"/>
      <c r="D123" s="361"/>
      <c r="E123" s="361"/>
      <c r="F123" s="361"/>
      <c r="G123" s="361"/>
      <c r="H123" s="361"/>
      <c r="I123" s="361"/>
      <c r="J123" s="361"/>
      <c r="K123" s="361"/>
      <c r="L123" s="361"/>
      <c r="M123" s="361"/>
      <c r="N123" s="361"/>
      <c r="O123" s="361"/>
      <c r="P123" s="361"/>
      <c r="Q123" s="361"/>
    </row>
    <row r="124" spans="1:17">
      <c r="A124" s="361"/>
      <c r="B124" s="361"/>
      <c r="C124" s="361"/>
      <c r="D124" s="361"/>
      <c r="E124" s="361"/>
      <c r="F124" s="361"/>
      <c r="G124" s="361"/>
      <c r="H124" s="361"/>
      <c r="I124" s="361"/>
      <c r="J124" s="361"/>
      <c r="K124" s="361"/>
      <c r="L124" s="361"/>
      <c r="M124" s="361"/>
      <c r="N124" s="361"/>
      <c r="O124" s="361"/>
      <c r="P124" s="361"/>
      <c r="Q124" s="361"/>
    </row>
    <row r="125" spans="1:17">
      <c r="A125" s="361"/>
      <c r="B125" s="361"/>
      <c r="C125" s="361"/>
      <c r="D125" s="361"/>
      <c r="E125" s="361"/>
      <c r="F125" s="361"/>
      <c r="G125" s="361"/>
      <c r="H125" s="361"/>
      <c r="I125" s="361"/>
      <c r="J125" s="361"/>
      <c r="K125" s="361"/>
      <c r="L125" s="361"/>
      <c r="M125" s="361"/>
      <c r="N125" s="361"/>
      <c r="O125" s="361"/>
      <c r="P125" s="361"/>
      <c r="Q125" s="361"/>
    </row>
    <row r="126" spans="1:17">
      <c r="A126" s="361"/>
      <c r="B126" s="361"/>
      <c r="C126" s="361"/>
      <c r="D126" s="361"/>
      <c r="E126" s="361"/>
      <c r="F126" s="361"/>
      <c r="G126" s="361"/>
      <c r="H126" s="361"/>
      <c r="I126" s="361"/>
      <c r="J126" s="361"/>
      <c r="K126" s="361"/>
      <c r="L126" s="361"/>
      <c r="M126" s="361"/>
      <c r="N126" s="361"/>
      <c r="O126" s="361"/>
      <c r="P126" s="361"/>
      <c r="Q126" s="361"/>
    </row>
    <row r="127" spans="1:17">
      <c r="A127" s="361"/>
      <c r="B127" s="361"/>
      <c r="C127" s="361"/>
      <c r="D127" s="361"/>
      <c r="E127" s="361"/>
      <c r="F127" s="361"/>
      <c r="G127" s="361"/>
      <c r="H127" s="361"/>
      <c r="I127" s="361"/>
      <c r="J127" s="361"/>
      <c r="K127" s="361"/>
      <c r="L127" s="361"/>
      <c r="M127" s="361"/>
      <c r="N127" s="361"/>
      <c r="O127" s="361"/>
      <c r="P127" s="361"/>
      <c r="Q127" s="361"/>
    </row>
    <row r="128" spans="1:17">
      <c r="A128" s="361"/>
      <c r="B128" s="361"/>
      <c r="C128" s="361"/>
      <c r="D128" s="361"/>
      <c r="E128" s="361"/>
      <c r="F128" s="361"/>
      <c r="G128" s="361"/>
      <c r="H128" s="361"/>
      <c r="I128" s="361"/>
      <c r="J128" s="361"/>
      <c r="K128" s="361"/>
      <c r="L128" s="361"/>
      <c r="M128" s="361"/>
      <c r="N128" s="361"/>
      <c r="O128" s="361"/>
      <c r="P128" s="361"/>
      <c r="Q128" s="361"/>
    </row>
    <row r="129" spans="1:17">
      <c r="A129" s="361"/>
      <c r="B129" s="361"/>
      <c r="C129" s="361"/>
      <c r="D129" s="361"/>
      <c r="E129" s="361"/>
      <c r="F129" s="361"/>
      <c r="G129" s="361"/>
      <c r="H129" s="361"/>
      <c r="I129" s="361"/>
      <c r="J129" s="361"/>
      <c r="K129" s="361"/>
      <c r="L129" s="361"/>
      <c r="M129" s="361"/>
      <c r="N129" s="361"/>
      <c r="O129" s="361"/>
      <c r="P129" s="361"/>
      <c r="Q129" s="361"/>
    </row>
    <row r="130" spans="1:17">
      <c r="A130" s="361"/>
      <c r="B130" s="361"/>
      <c r="C130" s="361"/>
      <c r="D130" s="361"/>
      <c r="E130" s="361"/>
      <c r="F130" s="361"/>
      <c r="G130" s="361"/>
      <c r="H130" s="361"/>
      <c r="I130" s="361"/>
      <c r="J130" s="361"/>
      <c r="K130" s="361"/>
      <c r="L130" s="361"/>
      <c r="M130" s="361"/>
      <c r="N130" s="361"/>
      <c r="O130" s="361"/>
      <c r="P130" s="361"/>
      <c r="Q130" s="361"/>
    </row>
    <row r="131" spans="1:17">
      <c r="A131" s="361"/>
      <c r="B131" s="361"/>
      <c r="C131" s="361"/>
      <c r="D131" s="361"/>
      <c r="E131" s="361"/>
      <c r="F131" s="361"/>
      <c r="G131" s="361"/>
      <c r="H131" s="361"/>
      <c r="I131" s="361"/>
      <c r="J131" s="361"/>
      <c r="K131" s="361"/>
      <c r="L131" s="361"/>
      <c r="M131" s="361"/>
      <c r="N131" s="361"/>
      <c r="O131" s="361"/>
      <c r="P131" s="361"/>
      <c r="Q131" s="361"/>
    </row>
    <row r="132" spans="1:17">
      <c r="A132" s="361"/>
      <c r="B132" s="361"/>
      <c r="C132" s="361"/>
      <c r="D132" s="361"/>
      <c r="E132" s="361"/>
      <c r="F132" s="361"/>
      <c r="G132" s="361"/>
      <c r="H132" s="361"/>
      <c r="I132" s="361"/>
      <c r="J132" s="361"/>
      <c r="K132" s="361"/>
      <c r="L132" s="361"/>
      <c r="M132" s="361"/>
      <c r="N132" s="361"/>
      <c r="O132" s="361"/>
      <c r="P132" s="361"/>
      <c r="Q132" s="361"/>
    </row>
    <row r="133" spans="1:17">
      <c r="A133" s="361"/>
      <c r="B133" s="361"/>
      <c r="C133" s="361"/>
      <c r="D133" s="361"/>
      <c r="E133" s="361"/>
      <c r="F133" s="361"/>
      <c r="G133" s="361"/>
      <c r="H133" s="361"/>
      <c r="I133" s="361"/>
      <c r="J133" s="361"/>
      <c r="K133" s="361"/>
      <c r="L133" s="361"/>
      <c r="M133" s="361"/>
      <c r="N133" s="361"/>
      <c r="O133" s="361"/>
      <c r="P133" s="361"/>
      <c r="Q133" s="361"/>
    </row>
    <row r="134" spans="1:17">
      <c r="A134" s="361"/>
      <c r="B134" s="361"/>
      <c r="C134" s="361"/>
      <c r="D134" s="361"/>
      <c r="E134" s="361"/>
      <c r="F134" s="361"/>
      <c r="G134" s="361"/>
      <c r="H134" s="361"/>
      <c r="I134" s="361"/>
      <c r="J134" s="361"/>
      <c r="K134" s="361"/>
      <c r="L134" s="361"/>
      <c r="M134" s="361"/>
      <c r="N134" s="361"/>
      <c r="O134" s="361"/>
      <c r="P134" s="361"/>
      <c r="Q134" s="361"/>
    </row>
  </sheetData>
  <customSheetViews>
    <customSheetView guid="{25FAB884-5E17-4008-8139-33D910C7DEFE}">
      <selection activeCell="I42" sqref="I42"/>
      <pageMargins left="0.7" right="0.7" top="0.75" bottom="0.75" header="0.3" footer="0.3"/>
      <pageSetup paperSize="9" orientation="portrait" r:id="rId1"/>
    </customSheetView>
    <customSheetView guid="{8DA78CF1-615A-4626-9893-6751995631A4}" topLeftCell="A19">
      <selection activeCell="D48" sqref="D48"/>
      <pageMargins left="0.7" right="0.7" top="0.75" bottom="0.75" header="0.3" footer="0.3"/>
      <pageSetup paperSize="9" orientation="portrait" r:id="rId2"/>
    </customSheetView>
    <customSheetView guid="{687A4863-1825-4D63-B732-E76682E6DE4F}" hiddenColumns="1">
      <selection activeCell="V9" sqref="V9:V10"/>
      <pageMargins left="0.7" right="0.7" top="0.75" bottom="0.75" header="0.3" footer="0.3"/>
      <pageSetup paperSize="9" orientation="portrait" r:id="rId3"/>
    </customSheetView>
    <customSheetView guid="{899D69CD-4B7E-42BC-9944-5BD922EB798C}" topLeftCell="A22">
      <selection activeCell="A23" sqref="A23"/>
      <pageMargins left="0.7" right="0.7" top="0.75" bottom="0.75" header="0.3" footer="0.3"/>
      <pageSetup paperSize="9" orientation="portrait" r:id="rId4"/>
    </customSheetView>
    <customSheetView guid="{9AF4A83C-CF57-4B40-8A74-6A0EA6C2FE5C}" topLeftCell="B22">
      <selection activeCell="L49" sqref="L49"/>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12F8D032-8143-430B-8DFF-852E8796C402}" hiddenColumns="1">
      <selection activeCell="V9" sqref="V9:V10"/>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L27 I27:K27 E27:F27 C27:D27 M27:O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6"/>
  <sheetViews>
    <sheetView workbookViewId="0">
      <selection activeCell="C24" sqref="C24"/>
    </sheetView>
  </sheetViews>
  <sheetFormatPr defaultColWidth="9.140625" defaultRowHeight="15"/>
  <cols>
    <col min="1" max="1" width="39.140625" style="19" customWidth="1"/>
    <col min="2" max="2" width="40.5703125" style="19" customWidth="1"/>
    <col min="3" max="13" width="13.42578125" style="19" customWidth="1"/>
    <col min="14" max="14" width="13.42578125" style="90" customWidth="1"/>
    <col min="15" max="16384" width="9.140625" style="19"/>
  </cols>
  <sheetData>
    <row r="2" spans="1:15"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633</v>
      </c>
      <c r="N2" s="40" t="s">
        <v>644</v>
      </c>
    </row>
    <row r="3" spans="1:15"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285"/>
    </row>
    <row r="4" spans="1:15" ht="15" customHeight="1">
      <c r="A4" s="33" t="s">
        <v>282</v>
      </c>
      <c r="B4" s="33" t="s">
        <v>311</v>
      </c>
      <c r="C4" s="42">
        <v>433</v>
      </c>
      <c r="D4" s="42">
        <v>0</v>
      </c>
      <c r="E4" s="42">
        <v>0</v>
      </c>
      <c r="F4" s="42">
        <v>0</v>
      </c>
      <c r="G4" s="42">
        <v>0</v>
      </c>
      <c r="H4" s="42">
        <v>0</v>
      </c>
      <c r="I4" s="42">
        <v>0</v>
      </c>
      <c r="J4" s="42">
        <v>0</v>
      </c>
      <c r="K4" s="42">
        <v>0</v>
      </c>
      <c r="L4" s="42">
        <v>0</v>
      </c>
      <c r="M4" s="42">
        <v>0</v>
      </c>
      <c r="N4" s="42">
        <v>0</v>
      </c>
      <c r="O4" s="285"/>
    </row>
    <row r="5" spans="1:15"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285"/>
    </row>
    <row r="6" spans="1:15" s="90" customFormat="1" ht="30" customHeight="1">
      <c r="A6" s="33" t="s">
        <v>637</v>
      </c>
      <c r="B6" s="33" t="s">
        <v>638</v>
      </c>
      <c r="C6" s="42">
        <v>0</v>
      </c>
      <c r="D6" s="42">
        <v>0</v>
      </c>
      <c r="E6" s="42">
        <v>0</v>
      </c>
      <c r="F6" s="42">
        <v>0</v>
      </c>
      <c r="G6" s="42">
        <v>0</v>
      </c>
      <c r="H6" s="42">
        <v>0</v>
      </c>
      <c r="I6" s="42">
        <v>0</v>
      </c>
      <c r="J6" s="42">
        <v>0</v>
      </c>
      <c r="K6" s="42">
        <v>0</v>
      </c>
      <c r="L6" s="42">
        <v>0</v>
      </c>
      <c r="M6" s="42">
        <v>50000</v>
      </c>
      <c r="N6" s="42">
        <v>9079</v>
      </c>
      <c r="O6" s="285"/>
    </row>
    <row r="7" spans="1:15"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285"/>
    </row>
    <row r="8" spans="1:15"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285"/>
    </row>
    <row r="9" spans="1:15"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285"/>
    </row>
    <row r="10" spans="1:15"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285"/>
    </row>
    <row r="11" spans="1:15" ht="15" customHeight="1">
      <c r="A11" s="33" t="s">
        <v>274</v>
      </c>
      <c r="B11" s="33" t="s">
        <v>299</v>
      </c>
      <c r="C11" s="42">
        <v>24131</v>
      </c>
      <c r="D11" s="42">
        <v>31</v>
      </c>
      <c r="E11" s="42">
        <v>73</v>
      </c>
      <c r="F11" s="42">
        <v>3</v>
      </c>
      <c r="G11" s="42">
        <v>0</v>
      </c>
      <c r="H11" s="42">
        <v>0</v>
      </c>
      <c r="I11" s="42">
        <v>0</v>
      </c>
      <c r="J11" s="42">
        <v>0</v>
      </c>
      <c r="K11" s="278">
        <v>2601</v>
      </c>
      <c r="L11" s="278">
        <v>10231</v>
      </c>
      <c r="M11" s="278">
        <v>10130</v>
      </c>
      <c r="N11" s="42">
        <v>12496</v>
      </c>
      <c r="O11" s="285"/>
    </row>
    <row r="12" spans="1:15" ht="15" customHeight="1">
      <c r="A12" s="34" t="s">
        <v>275</v>
      </c>
      <c r="B12" s="34" t="s">
        <v>300</v>
      </c>
      <c r="C12" s="42">
        <v>9934</v>
      </c>
      <c r="D12" s="42">
        <v>11459</v>
      </c>
      <c r="E12" s="42">
        <v>8799</v>
      </c>
      <c r="F12" s="42">
        <v>10403</v>
      </c>
      <c r="G12" s="42">
        <v>15451</v>
      </c>
      <c r="H12" s="42">
        <v>18557</v>
      </c>
      <c r="I12" s="42">
        <v>9144</v>
      </c>
      <c r="J12" s="42">
        <v>9304</v>
      </c>
      <c r="K12" s="277">
        <v>13108</v>
      </c>
      <c r="L12" s="277">
        <v>14665</v>
      </c>
      <c r="M12" s="277">
        <v>11242</v>
      </c>
      <c r="N12" s="42">
        <v>18063</v>
      </c>
      <c r="O12" s="285"/>
    </row>
    <row r="13" spans="1:15"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34870</v>
      </c>
      <c r="L13" s="43">
        <f t="shared" si="0"/>
        <v>60831</v>
      </c>
      <c r="M13" s="43">
        <f t="shared" si="0"/>
        <v>100960</v>
      </c>
      <c r="N13" s="43">
        <f>SUM(N3:N12)</f>
        <v>79255</v>
      </c>
      <c r="O13" s="285"/>
    </row>
    <row r="14" spans="1:15">
      <c r="A14" s="251"/>
      <c r="B14" s="251"/>
      <c r="C14" s="302"/>
      <c r="D14" s="302"/>
      <c r="E14" s="302"/>
      <c r="F14" s="302"/>
      <c r="G14" s="302"/>
      <c r="H14" s="302"/>
      <c r="I14" s="302"/>
      <c r="J14" s="302"/>
      <c r="K14" s="302"/>
      <c r="L14" s="302"/>
    </row>
    <row r="15" spans="1:15">
      <c r="A15" s="251"/>
      <c r="B15" s="251"/>
      <c r="C15" s="251"/>
      <c r="D15" s="251"/>
      <c r="E15" s="251"/>
      <c r="F15" s="251"/>
      <c r="G15" s="297"/>
      <c r="H15" s="297"/>
      <c r="I15" s="251"/>
      <c r="J15" s="251"/>
      <c r="K15" s="287"/>
      <c r="L15" s="287"/>
    </row>
    <row r="16" spans="1:15">
      <c r="A16" s="251"/>
      <c r="B16" s="251"/>
      <c r="C16" s="251"/>
      <c r="D16" s="251"/>
      <c r="E16" s="251"/>
      <c r="F16" s="251"/>
      <c r="G16" s="297"/>
      <c r="H16" s="297"/>
      <c r="I16" s="251"/>
      <c r="J16" s="251"/>
      <c r="K16" s="286"/>
      <c r="L16" s="286"/>
    </row>
    <row r="17" spans="1:12">
      <c r="A17" s="251"/>
      <c r="B17" s="251"/>
      <c r="C17" s="251"/>
      <c r="D17" s="251"/>
      <c r="E17" s="251"/>
      <c r="F17" s="251"/>
      <c r="G17" s="301"/>
      <c r="H17" s="297"/>
      <c r="I17" s="251"/>
      <c r="J17" s="251"/>
      <c r="K17" s="251"/>
      <c r="L17" s="251"/>
    </row>
    <row r="18" spans="1:12">
      <c r="G18" s="301"/>
      <c r="H18" s="297"/>
    </row>
    <row r="19" spans="1:12">
      <c r="G19" s="301"/>
      <c r="H19" s="297"/>
    </row>
    <row r="20" spans="1:12">
      <c r="G20" s="301"/>
      <c r="H20" s="297"/>
    </row>
    <row r="21" spans="1:12">
      <c r="G21" s="301"/>
      <c r="H21" s="297"/>
    </row>
    <row r="22" spans="1:12">
      <c r="G22" s="301"/>
      <c r="H22" s="297"/>
    </row>
    <row r="23" spans="1:12">
      <c r="G23" s="301"/>
      <c r="H23" s="297"/>
    </row>
    <row r="24" spans="1:12">
      <c r="G24" s="301"/>
      <c r="H24" s="297"/>
    </row>
    <row r="25" spans="1:12">
      <c r="G25" s="301"/>
      <c r="H25" s="297"/>
    </row>
    <row r="26" spans="1:12">
      <c r="G26" s="301"/>
      <c r="H26" s="297"/>
    </row>
    <row r="27" spans="1:12">
      <c r="G27" s="297"/>
      <c r="H27" s="297"/>
    </row>
    <row r="28" spans="1:12">
      <c r="G28" s="297"/>
      <c r="H28" s="297"/>
    </row>
    <row r="29" spans="1:12">
      <c r="G29" s="297"/>
      <c r="H29" s="297"/>
    </row>
    <row r="30" spans="1:12">
      <c r="G30" s="297"/>
      <c r="H30" s="297"/>
    </row>
    <row r="31" spans="1:12">
      <c r="G31" s="297"/>
      <c r="H31" s="297"/>
    </row>
    <row r="32" spans="1:12">
      <c r="G32" s="297"/>
      <c r="H32" s="297"/>
    </row>
    <row r="33" spans="7:8">
      <c r="G33" s="297"/>
      <c r="H33" s="297"/>
    </row>
    <row r="34" spans="7:8">
      <c r="G34" s="297"/>
      <c r="H34" s="297"/>
    </row>
    <row r="35" spans="7:8">
      <c r="G35" s="297"/>
      <c r="H35" s="297"/>
    </row>
    <row r="36" spans="7:8">
      <c r="G36" s="297"/>
      <c r="H36" s="297"/>
    </row>
  </sheetData>
  <customSheetViews>
    <customSheetView guid="{25FAB884-5E17-4008-8139-33D910C7DEFE}">
      <selection activeCell="R22" sqref="R22"/>
      <pageMargins left="0.7" right="0.7" top="0.75" bottom="0.75" header="0.3" footer="0.3"/>
      <pageSetup paperSize="9" orientation="portrait" horizontalDpi="1200" verticalDpi="1200" r:id="rId1"/>
    </customSheetView>
    <customSheetView guid="{8DA78CF1-615A-4626-9893-6751995631A4}" topLeftCell="B1">
      <selection activeCell="K20" sqref="K20"/>
      <pageMargins left="0.7" right="0.7" top="0.75" bottom="0.75" header="0.3" footer="0.3"/>
      <pageSetup paperSize="9" orientation="portrait" horizontalDpi="1200" verticalDpi="1200" r:id="rId2"/>
    </customSheetView>
    <customSheetView guid="{687A4863-1825-4D63-B732-E76682E6DE4F}" showGridLines="0">
      <selection activeCell="A14" sqref="A14:XFD59"/>
      <pageMargins left="0.7" right="0.7" top="0.75" bottom="0.75" header="0.3" footer="0.3"/>
      <pageSetup paperSize="9" orientation="portrait" horizontalDpi="1200" verticalDpi="1200" r:id="rId3"/>
    </customSheetView>
    <customSheetView guid="{899D69CD-4B7E-42BC-9944-5BD922EB798C}">
      <selection activeCell="B21" sqref="B21"/>
      <pageMargins left="0.7" right="0.7" top="0.75" bottom="0.75" header="0.3" footer="0.3"/>
      <pageSetup paperSize="9" orientation="portrait" horizontalDpi="1200" verticalDpi="1200" r:id="rId4"/>
    </customSheetView>
    <customSheetView guid="{9AF4A83C-CF57-4B40-8A74-6A0EA6C2FE5C}">
      <selection activeCell="F24" sqref="F24"/>
      <pageMargins left="0.7" right="0.7" top="0.75" bottom="0.75" header="0.3" footer="0.3"/>
    </customSheetView>
    <customSheetView guid="{57267270-6A97-4850-9DB6-FE6B399379AA}" scale="110">
      <selection activeCell="H12" sqref="H12"/>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C21" sqref="C21"/>
    </sheetView>
  </sheetViews>
  <sheetFormatPr defaultColWidth="9.140625" defaultRowHeight="15"/>
  <cols>
    <col min="1" max="2" width="46.5703125" style="20" customWidth="1"/>
    <col min="3" max="13" width="15.7109375" style="19" customWidth="1"/>
    <col min="14" max="14" width="15.7109375" style="90" customWidth="1"/>
    <col min="15" max="15" width="9.5703125" style="19" bestFit="1" customWidth="1"/>
    <col min="16" max="16384" width="9.140625" style="19"/>
  </cols>
  <sheetData>
    <row r="1" spans="1:17">
      <c r="M1" s="285"/>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633</v>
      </c>
      <c r="N2" s="36" t="s">
        <v>644</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285"/>
    </row>
    <row r="4" spans="1:17" s="90" customFormat="1">
      <c r="A4" s="164" t="s">
        <v>659</v>
      </c>
      <c r="B4" s="164" t="s">
        <v>660</v>
      </c>
      <c r="C4" s="38">
        <v>0</v>
      </c>
      <c r="D4" s="38">
        <v>0</v>
      </c>
      <c r="E4" s="38">
        <v>0</v>
      </c>
      <c r="F4" s="38">
        <v>0</v>
      </c>
      <c r="G4" s="38">
        <v>0</v>
      </c>
      <c r="H4" s="38">
        <v>0</v>
      </c>
      <c r="I4" s="38">
        <v>0</v>
      </c>
      <c r="J4" s="38">
        <v>0</v>
      </c>
      <c r="K4" s="38">
        <v>0</v>
      </c>
      <c r="L4" s="38">
        <v>0</v>
      </c>
      <c r="M4" s="38">
        <v>-9954</v>
      </c>
      <c r="N4" s="38">
        <v>-256674</v>
      </c>
      <c r="O4" s="285"/>
    </row>
    <row r="5" spans="1:17" ht="38.25">
      <c r="A5" s="33" t="s">
        <v>628</v>
      </c>
      <c r="B5" s="33" t="s">
        <v>629</v>
      </c>
      <c r="C5" s="38">
        <v>0</v>
      </c>
      <c r="D5" s="38">
        <v>0</v>
      </c>
      <c r="E5" s="38">
        <v>0</v>
      </c>
      <c r="F5" s="38">
        <v>-8397</v>
      </c>
      <c r="G5" s="38">
        <v>0</v>
      </c>
      <c r="H5" s="38">
        <v>0</v>
      </c>
      <c r="I5" s="38">
        <v>0</v>
      </c>
      <c r="J5" s="38">
        <v>-13054</v>
      </c>
      <c r="K5" s="38">
        <v>0</v>
      </c>
      <c r="L5" s="38">
        <v>-17460</v>
      </c>
      <c r="M5" s="38">
        <v>-1097</v>
      </c>
      <c r="N5" s="38">
        <v>-15578</v>
      </c>
      <c r="O5" s="285"/>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285"/>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285"/>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285"/>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285"/>
    </row>
    <row r="10" spans="1:17" ht="15" customHeight="1">
      <c r="A10" s="33" t="s">
        <v>281</v>
      </c>
      <c r="B10" s="33" t="s">
        <v>310</v>
      </c>
      <c r="C10" s="38">
        <v>0</v>
      </c>
      <c r="D10" s="38">
        <v>0</v>
      </c>
      <c r="E10" s="38">
        <v>0</v>
      </c>
      <c r="F10" s="38">
        <v>0</v>
      </c>
      <c r="G10" s="38">
        <v>0</v>
      </c>
      <c r="H10" s="38">
        <v>0</v>
      </c>
      <c r="I10" s="38">
        <v>0</v>
      </c>
      <c r="J10" s="38">
        <v>0</v>
      </c>
      <c r="K10" s="38">
        <v>-2650</v>
      </c>
      <c r="L10" s="38">
        <v>-10663</v>
      </c>
      <c r="M10" s="38">
        <v>-184</v>
      </c>
      <c r="N10" s="38">
        <v>-9671</v>
      </c>
      <c r="O10" s="285"/>
    </row>
    <row r="11" spans="1:17" ht="15" customHeight="1">
      <c r="A11" s="34" t="s">
        <v>275</v>
      </c>
      <c r="B11" s="34" t="s">
        <v>300</v>
      </c>
      <c r="C11" s="37">
        <v>-4825</v>
      </c>
      <c r="D11" s="37">
        <v>-8014</v>
      </c>
      <c r="E11" s="37">
        <v>-5357</v>
      </c>
      <c r="F11" s="37">
        <v>-10780</v>
      </c>
      <c r="G11" s="37">
        <v>-7163</v>
      </c>
      <c r="H11" s="37">
        <v>-5632</v>
      </c>
      <c r="I11" s="37">
        <v>-7677</v>
      </c>
      <c r="J11" s="37">
        <v>-11523</v>
      </c>
      <c r="K11" s="277">
        <f>-9843</f>
        <v>-9843</v>
      </c>
      <c r="L11" s="277">
        <v>-8521</v>
      </c>
      <c r="M11" s="277">
        <v>-7739</v>
      </c>
      <c r="N11" s="38">
        <v>-12858</v>
      </c>
      <c r="O11" s="285"/>
    </row>
    <row r="12" spans="1:17" ht="15" customHeight="1">
      <c r="A12" s="35" t="s">
        <v>58</v>
      </c>
      <c r="B12" s="35" t="s">
        <v>43</v>
      </c>
      <c r="C12" s="39">
        <v>-27993</v>
      </c>
      <c r="D12" s="39">
        <v>-16655</v>
      </c>
      <c r="E12" s="39">
        <v>-39161</v>
      </c>
      <c r="F12" s="39">
        <v>-30240</v>
      </c>
      <c r="G12" s="39">
        <f>SUM(G3:G11)</f>
        <v>-26161</v>
      </c>
      <c r="H12" s="39">
        <v>-84548</v>
      </c>
      <c r="I12" s="39">
        <v>-34081</v>
      </c>
      <c r="J12" s="39">
        <v>-47951</v>
      </c>
      <c r="K12" s="39">
        <f>SUM(K3:K11)</f>
        <v>-29393</v>
      </c>
      <c r="L12" s="39">
        <f>SUM(L3:L11)</f>
        <v>-56261</v>
      </c>
      <c r="M12" s="39">
        <f>SUM(M3:M11)</f>
        <v>-35584</v>
      </c>
      <c r="N12" s="39">
        <f>SUM(N3:N11)</f>
        <v>-313066</v>
      </c>
      <c r="O12" s="285"/>
    </row>
    <row r="13" spans="1:17">
      <c r="B13" s="250"/>
      <c r="C13" s="340"/>
      <c r="D13" s="340"/>
      <c r="E13" s="340"/>
      <c r="F13" s="340"/>
      <c r="G13" s="340"/>
      <c r="H13" s="340"/>
      <c r="I13" s="340"/>
      <c r="J13" s="340"/>
      <c r="K13" s="340"/>
      <c r="L13" s="340"/>
      <c r="M13" s="340"/>
      <c r="N13" s="340"/>
    </row>
    <row r="14" spans="1:17">
      <c r="B14" s="333"/>
      <c r="C14" s="331"/>
      <c r="D14" s="331"/>
      <c r="E14" s="331"/>
      <c r="F14" s="332"/>
      <c r="G14" s="332"/>
      <c r="H14" s="332"/>
      <c r="I14" s="332"/>
      <c r="J14" s="332"/>
      <c r="K14" s="332"/>
      <c r="L14" s="332"/>
      <c r="M14" s="332"/>
      <c r="N14" s="332"/>
      <c r="O14" s="93"/>
      <c r="P14" s="93"/>
      <c r="Q14" s="93"/>
    </row>
    <row r="15" spans="1:17">
      <c r="B15" s="333"/>
      <c r="C15" s="334"/>
      <c r="D15" s="334"/>
      <c r="E15" s="334"/>
      <c r="F15" s="334"/>
      <c r="G15" s="334"/>
      <c r="H15" s="334"/>
      <c r="I15" s="334"/>
      <c r="J15" s="334"/>
      <c r="K15" s="335"/>
      <c r="L15" s="335"/>
      <c r="M15" s="93"/>
      <c r="N15" s="93"/>
      <c r="O15" s="93"/>
      <c r="P15" s="93"/>
      <c r="Q15" s="93"/>
    </row>
    <row r="16" spans="1:17" s="90" customFormat="1">
      <c r="A16" s="20"/>
      <c r="B16" s="336"/>
      <c r="C16" s="93"/>
      <c r="D16" s="93"/>
      <c r="E16" s="93"/>
      <c r="F16" s="93"/>
      <c r="G16" s="284"/>
      <c r="H16" s="93"/>
      <c r="I16" s="93"/>
      <c r="J16" s="93"/>
      <c r="K16" s="93"/>
      <c r="L16" s="93"/>
      <c r="M16" s="93"/>
      <c r="N16" s="93"/>
      <c r="O16" s="93"/>
      <c r="P16" s="93"/>
      <c r="Q16" s="93"/>
    </row>
    <row r="17" spans="7:7">
      <c r="G17" s="285"/>
    </row>
    <row r="18" spans="7:7">
      <c r="G18" s="285"/>
    </row>
    <row r="19" spans="7:7">
      <c r="G19" s="285"/>
    </row>
    <row r="20" spans="7:7">
      <c r="G20" s="285"/>
    </row>
    <row r="21" spans="7:7">
      <c r="G21" s="285"/>
    </row>
    <row r="22" spans="7:7">
      <c r="G22" s="285"/>
    </row>
    <row r="23" spans="7:7">
      <c r="G23" s="285"/>
    </row>
    <row r="24" spans="7:7">
      <c r="G24" s="285"/>
    </row>
    <row r="25" spans="7:7">
      <c r="G25" s="285"/>
    </row>
    <row r="26" spans="7:7">
      <c r="G26" s="285"/>
    </row>
    <row r="27" spans="7:7">
      <c r="G27" s="285"/>
    </row>
  </sheetData>
  <customSheetViews>
    <customSheetView guid="{25FAB884-5E17-4008-8139-33D910C7DEFE}">
      <selection activeCell="L27" sqref="L27"/>
      <pageMargins left="0.7" right="0.7" top="0.75" bottom="0.75" header="0.3" footer="0.3"/>
    </customSheetView>
    <customSheetView guid="{8DA78CF1-615A-4626-9893-6751995631A4}">
      <selection activeCell="A23" sqref="A23"/>
      <pageMargins left="0.7" right="0.7" top="0.75" bottom="0.75" header="0.3" footer="0.3"/>
      <pageSetup paperSize="9" orientation="portrait" horizontalDpi="1200" verticalDpi="1200" r:id="rId1"/>
    </customSheetView>
    <customSheetView guid="{687A4863-1825-4D63-B732-E76682E6DE4F}" showGridLines="0" topLeftCell="H1">
      <selection activeCell="H13" sqref="A13:XFD125"/>
      <pageMargins left="0.7" right="0.7" top="0.75" bottom="0.75" header="0.3" footer="0.3"/>
    </customSheetView>
    <customSheetView guid="{899D69CD-4B7E-42BC-9944-5BD922EB798C}">
      <selection activeCell="B8" sqref="B8"/>
      <pageMargins left="0.7" right="0.7" top="0.75" bottom="0.75" header="0.3" footer="0.3"/>
    </customSheetView>
    <customSheetView guid="{9AF4A83C-CF57-4B40-8A74-6A0EA6C2FE5C}">
      <selection activeCell="B27" sqref="B27"/>
      <pageMargins left="0.7" right="0.7" top="0.75" bottom="0.75" header="0.3" footer="0.3"/>
      <pageSetup paperSize="9" orientation="portrait" horizontalDpi="1200" verticalDpi="1200" r:id="rId2"/>
    </customSheetView>
    <customSheetView guid="{57267270-6A97-4850-9DB6-FE6B399379AA}" scale="110" topLeftCell="B3">
      <selection activeCell="F16" sqref="F16"/>
      <pageMargins left="0.7" right="0.7" top="0.75" bottom="0.75" header="0.3" footer="0.3"/>
      <pageSetup paperSize="9" orientation="portrait" horizontalDpi="1200" verticalDpi="1200" r:id="rId3"/>
    </customSheetView>
    <customSheetView guid="{12F8D032-8143-430B-8DFF-852E8796C402}" showGridLines="0">
      <selection activeCell="A3" sqref="A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28515625" style="100" customWidth="1"/>
    <col min="2" max="2" width="35.5703125" style="100" customWidth="1"/>
    <col min="3" max="4" width="11.140625" style="100" bestFit="1" customWidth="1"/>
    <col min="5" max="6" width="10.85546875" style="100" bestFit="1" customWidth="1"/>
    <col min="7" max="7" width="11" style="100" bestFit="1" customWidth="1"/>
    <col min="8" max="10" width="10" style="100" customWidth="1"/>
    <col min="11" max="11" width="11" style="100" bestFit="1" customWidth="1"/>
    <col min="12" max="16384" width="9.140625" style="100"/>
  </cols>
  <sheetData>
    <row r="1" spans="1:11">
      <c r="A1" s="99" t="s">
        <v>315</v>
      </c>
      <c r="B1" s="99" t="s">
        <v>316</v>
      </c>
    </row>
    <row r="2" spans="1:11" ht="43.5" customHeight="1" thickBot="1">
      <c r="A2" s="101" t="s">
        <v>329</v>
      </c>
      <c r="B2" s="101" t="s">
        <v>330</v>
      </c>
      <c r="C2" s="102" t="s">
        <v>115</v>
      </c>
      <c r="D2" s="102" t="s">
        <v>111</v>
      </c>
      <c r="E2" s="102" t="s">
        <v>116</v>
      </c>
      <c r="F2" s="102" t="s">
        <v>117</v>
      </c>
      <c r="G2" s="102" t="s">
        <v>118</v>
      </c>
      <c r="H2" s="102" t="s">
        <v>136</v>
      </c>
      <c r="I2" s="102" t="s">
        <v>137</v>
      </c>
      <c r="J2" s="102" t="s">
        <v>146</v>
      </c>
      <c r="K2" s="102" t="s">
        <v>155</v>
      </c>
    </row>
    <row r="3" spans="1:11">
      <c r="A3" s="103" t="s">
        <v>317</v>
      </c>
      <c r="B3" s="103" t="s">
        <v>318</v>
      </c>
      <c r="C3" s="104">
        <v>0</v>
      </c>
      <c r="D3" s="104">
        <v>0</v>
      </c>
      <c r="E3" s="104">
        <v>0</v>
      </c>
      <c r="F3" s="104">
        <v>0</v>
      </c>
      <c r="G3" s="104">
        <f>SUM(G4:G7)</f>
        <v>0</v>
      </c>
      <c r="H3" s="104">
        <f>SUM(H4:H7)</f>
        <v>0</v>
      </c>
      <c r="I3" s="104">
        <f>SUM(I4:I7)</f>
        <v>0</v>
      </c>
      <c r="J3" s="104">
        <f>SUM(J4:J7)</f>
        <v>0</v>
      </c>
      <c r="K3" s="104">
        <f>SUM(K4:K7)</f>
        <v>0</v>
      </c>
    </row>
    <row r="4" spans="1:11">
      <c r="A4" s="105" t="s">
        <v>331</v>
      </c>
      <c r="B4" s="105" t="s">
        <v>325</v>
      </c>
      <c r="C4" s="104"/>
      <c r="D4" s="104"/>
      <c r="E4" s="104"/>
      <c r="F4" s="104"/>
      <c r="G4" s="104">
        <v>0</v>
      </c>
      <c r="H4" s="104"/>
      <c r="I4" s="106"/>
      <c r="J4" s="104"/>
      <c r="K4" s="104">
        <v>0</v>
      </c>
    </row>
    <row r="5" spans="1:11">
      <c r="A5" s="105" t="s">
        <v>332</v>
      </c>
      <c r="B5" s="105" t="s">
        <v>326</v>
      </c>
      <c r="C5" s="104"/>
      <c r="D5" s="104"/>
      <c r="E5" s="104"/>
      <c r="F5" s="104"/>
      <c r="G5" s="104">
        <v>0</v>
      </c>
      <c r="H5" s="104"/>
      <c r="I5" s="104"/>
      <c r="J5" s="104"/>
      <c r="K5" s="104">
        <v>0</v>
      </c>
    </row>
    <row r="6" spans="1:11">
      <c r="A6" s="105" t="s">
        <v>333</v>
      </c>
      <c r="B6" s="105" t="s">
        <v>327</v>
      </c>
      <c r="C6" s="104"/>
      <c r="D6" s="104"/>
      <c r="E6" s="104"/>
      <c r="F6" s="104"/>
      <c r="G6" s="104">
        <v>0</v>
      </c>
      <c r="H6" s="104"/>
      <c r="I6" s="104"/>
      <c r="J6" s="104"/>
      <c r="K6" s="104">
        <v>0</v>
      </c>
    </row>
    <row r="7" spans="1:11">
      <c r="A7" s="105" t="s">
        <v>328</v>
      </c>
      <c r="B7" s="105" t="s">
        <v>328</v>
      </c>
      <c r="C7" s="104"/>
      <c r="D7" s="104"/>
      <c r="E7" s="104"/>
      <c r="F7" s="104"/>
      <c r="G7" s="104">
        <v>0</v>
      </c>
      <c r="H7" s="104"/>
      <c r="I7" s="104"/>
      <c r="J7" s="104"/>
      <c r="K7" s="104">
        <v>0</v>
      </c>
    </row>
    <row r="8" spans="1:11">
      <c r="A8" s="103" t="s">
        <v>319</v>
      </c>
      <c r="B8" s="103" t="s">
        <v>322</v>
      </c>
      <c r="C8" s="104">
        <v>-175632</v>
      </c>
      <c r="D8" s="104">
        <v>-118342</v>
      </c>
      <c r="E8" s="104">
        <v>-225510</v>
      </c>
      <c r="F8" s="104">
        <v>-214100</v>
      </c>
      <c r="G8" s="104">
        <f>SUM(G9:G12)</f>
        <v>-218758</v>
      </c>
      <c r="H8" s="104">
        <f>SUM(H9:H12)</f>
        <v>0</v>
      </c>
      <c r="I8" s="104">
        <f>SUM(I9:I12)</f>
        <v>0</v>
      </c>
      <c r="J8" s="104">
        <f>SUM(J9:J12)</f>
        <v>0</v>
      </c>
      <c r="K8" s="104">
        <f>SUM(K9:K12)</f>
        <v>-280118</v>
      </c>
    </row>
    <row r="9" spans="1:11" s="107" customFormat="1">
      <c r="A9" s="105" t="s">
        <v>331</v>
      </c>
      <c r="B9" s="105" t="s">
        <v>325</v>
      </c>
      <c r="C9" s="106"/>
      <c r="D9" s="106"/>
      <c r="E9" s="106"/>
      <c r="F9" s="106"/>
      <c r="G9" s="106">
        <v>-3021</v>
      </c>
      <c r="H9" s="106"/>
      <c r="I9" s="106"/>
      <c r="J9" s="106"/>
      <c r="K9" s="106">
        <v>-16561</v>
      </c>
    </row>
    <row r="10" spans="1:11" s="107" customFormat="1">
      <c r="A10" s="105" t="s">
        <v>332</v>
      </c>
      <c r="B10" s="105" t="s">
        <v>326</v>
      </c>
      <c r="C10" s="106"/>
      <c r="D10" s="106"/>
      <c r="E10" s="106"/>
      <c r="F10" s="106"/>
      <c r="G10" s="106">
        <v>26764</v>
      </c>
      <c r="H10" s="106"/>
      <c r="I10" s="106"/>
      <c r="J10" s="106"/>
      <c r="K10" s="106">
        <v>-47557</v>
      </c>
    </row>
    <row r="11" spans="1:11" s="107" customFormat="1">
      <c r="A11" s="105" t="s">
        <v>333</v>
      </c>
      <c r="B11" s="105" t="s">
        <v>327</v>
      </c>
      <c r="C11" s="106"/>
      <c r="D11" s="106"/>
      <c r="E11" s="106"/>
      <c r="F11" s="106"/>
      <c r="G11" s="106">
        <v>-252063</v>
      </c>
      <c r="H11" s="106"/>
      <c r="I11" s="106"/>
      <c r="J11" s="106"/>
      <c r="K11" s="106">
        <v>-244530</v>
      </c>
    </row>
    <row r="12" spans="1:11" s="107" customFormat="1">
      <c r="A12" s="105" t="s">
        <v>328</v>
      </c>
      <c r="B12" s="105" t="s">
        <v>328</v>
      </c>
      <c r="C12" s="106"/>
      <c r="D12" s="106"/>
      <c r="E12" s="106"/>
      <c r="F12" s="106"/>
      <c r="G12" s="106">
        <v>9562</v>
      </c>
      <c r="H12" s="106"/>
      <c r="I12" s="106"/>
      <c r="J12" s="106"/>
      <c r="K12" s="106">
        <v>28530</v>
      </c>
    </row>
    <row r="13" spans="1:11">
      <c r="A13" s="103" t="s">
        <v>320</v>
      </c>
      <c r="B13" s="103" t="s">
        <v>323</v>
      </c>
      <c r="C13" s="104">
        <v>31262</v>
      </c>
      <c r="D13" s="104">
        <v>15694</v>
      </c>
      <c r="E13" s="104">
        <v>-5906</v>
      </c>
      <c r="F13" s="104">
        <v>2484</v>
      </c>
      <c r="G13" s="104">
        <f>SUM(G14:G17)</f>
        <v>17680</v>
      </c>
      <c r="H13" s="104">
        <f>SUM(H14:H17)</f>
        <v>0</v>
      </c>
      <c r="I13" s="104">
        <f>SUM(I14:I17)</f>
        <v>0</v>
      </c>
      <c r="J13" s="104">
        <f>SUM(J14:J17)</f>
        <v>0</v>
      </c>
      <c r="K13" s="104">
        <f>SUM(K14:K17)</f>
        <v>7442</v>
      </c>
    </row>
    <row r="14" spans="1:11" s="107" customFormat="1">
      <c r="A14" s="105" t="s">
        <v>331</v>
      </c>
      <c r="B14" s="105" t="s">
        <v>325</v>
      </c>
      <c r="C14" s="106"/>
      <c r="D14" s="106"/>
      <c r="E14" s="106"/>
      <c r="F14" s="106"/>
      <c r="G14" s="106">
        <v>0</v>
      </c>
      <c r="H14" s="106"/>
      <c r="I14" s="106"/>
      <c r="J14" s="106"/>
      <c r="K14" s="106">
        <v>0</v>
      </c>
    </row>
    <row r="15" spans="1:11" s="107" customFormat="1">
      <c r="A15" s="105" t="s">
        <v>332</v>
      </c>
      <c r="B15" s="105" t="s">
        <v>326</v>
      </c>
      <c r="C15" s="106"/>
      <c r="D15" s="106"/>
      <c r="E15" s="106"/>
      <c r="F15" s="106"/>
      <c r="G15" s="106">
        <v>0</v>
      </c>
      <c r="H15" s="106"/>
      <c r="I15" s="106"/>
      <c r="J15" s="106"/>
      <c r="K15" s="106">
        <v>0</v>
      </c>
    </row>
    <row r="16" spans="1:11" s="107" customFormat="1">
      <c r="A16" s="105" t="s">
        <v>333</v>
      </c>
      <c r="B16" s="105" t="s">
        <v>327</v>
      </c>
      <c r="C16" s="106"/>
      <c r="D16" s="106"/>
      <c r="E16" s="106"/>
      <c r="F16" s="106"/>
      <c r="G16" s="106">
        <v>17680</v>
      </c>
      <c r="H16" s="106"/>
      <c r="I16" s="106"/>
      <c r="J16" s="106"/>
      <c r="K16" s="106">
        <v>7442</v>
      </c>
    </row>
    <row r="17" spans="1:11" s="107" customFormat="1">
      <c r="A17" s="105" t="s">
        <v>328</v>
      </c>
      <c r="B17" s="105" t="s">
        <v>328</v>
      </c>
      <c r="C17" s="106"/>
      <c r="D17" s="106"/>
      <c r="E17" s="106"/>
      <c r="F17" s="106"/>
      <c r="G17" s="106">
        <v>0</v>
      </c>
      <c r="H17" s="106"/>
      <c r="I17" s="106"/>
      <c r="J17" s="106"/>
      <c r="K17" s="106">
        <v>0</v>
      </c>
    </row>
    <row r="18" spans="1:11" ht="25.5">
      <c r="A18" s="108" t="s">
        <v>321</v>
      </c>
      <c r="B18" s="103" t="s">
        <v>324</v>
      </c>
      <c r="C18" s="104">
        <v>-1142</v>
      </c>
      <c r="D18" s="104">
        <v>2282</v>
      </c>
      <c r="E18" s="104">
        <v>-237</v>
      </c>
      <c r="F18" s="104">
        <v>-1326</v>
      </c>
      <c r="G18" s="104">
        <f>SUM(G19:G22)</f>
        <v>-2286</v>
      </c>
      <c r="H18" s="104">
        <f>SUM(H19:H22)</f>
        <v>0</v>
      </c>
      <c r="I18" s="104">
        <f>SUM(I19:I22)</f>
        <v>0</v>
      </c>
      <c r="J18" s="104">
        <f>SUM(J19:J22)</f>
        <v>0</v>
      </c>
      <c r="K18" s="104">
        <f>SUM(K19:K22)</f>
        <v>9988</v>
      </c>
    </row>
    <row r="19" spans="1:11" s="107" customFormat="1">
      <c r="A19" s="105" t="s">
        <v>331</v>
      </c>
      <c r="B19" s="105" t="s">
        <v>325</v>
      </c>
      <c r="C19" s="106"/>
      <c r="D19" s="106"/>
      <c r="E19" s="106"/>
      <c r="F19" s="106"/>
      <c r="G19" s="106">
        <v>-2540</v>
      </c>
      <c r="H19" s="106"/>
      <c r="I19" s="106"/>
      <c r="J19" s="106"/>
      <c r="K19" s="106">
        <v>2495</v>
      </c>
    </row>
    <row r="20" spans="1:11" s="107" customFormat="1">
      <c r="A20" s="105" t="s">
        <v>332</v>
      </c>
      <c r="B20" s="105" t="s">
        <v>326</v>
      </c>
      <c r="C20" s="106"/>
      <c r="D20" s="106"/>
      <c r="E20" s="106"/>
      <c r="F20" s="106"/>
      <c r="G20" s="106">
        <v>2111</v>
      </c>
      <c r="H20" s="106"/>
      <c r="I20" s="106"/>
      <c r="J20" s="106"/>
      <c r="K20" s="106">
        <v>2942</v>
      </c>
    </row>
    <row r="21" spans="1:11" s="107" customFormat="1">
      <c r="A21" s="105" t="s">
        <v>333</v>
      </c>
      <c r="B21" s="105" t="s">
        <v>327</v>
      </c>
      <c r="C21" s="106"/>
      <c r="D21" s="106"/>
      <c r="E21" s="106"/>
      <c r="F21" s="106"/>
      <c r="G21" s="106">
        <v>-1857</v>
      </c>
      <c r="H21" s="106"/>
      <c r="I21" s="106"/>
      <c r="J21" s="106"/>
      <c r="K21" s="106">
        <v>4551</v>
      </c>
    </row>
    <row r="22" spans="1:11" s="107" customFormat="1">
      <c r="A22" s="109" t="s">
        <v>328</v>
      </c>
      <c r="B22" s="109" t="s">
        <v>328</v>
      </c>
      <c r="C22" s="110"/>
      <c r="D22" s="110"/>
      <c r="E22" s="110"/>
      <c r="F22" s="110"/>
      <c r="G22" s="110">
        <v>0</v>
      </c>
      <c r="H22" s="110"/>
      <c r="I22" s="110"/>
      <c r="J22" s="110"/>
      <c r="K22" s="110">
        <v>0</v>
      </c>
    </row>
    <row r="23" spans="1:11" s="113" customFormat="1" ht="16.5" customHeight="1">
      <c r="A23" s="111" t="s">
        <v>58</v>
      </c>
      <c r="B23" s="111" t="s">
        <v>43</v>
      </c>
      <c r="C23" s="112">
        <f t="shared" ref="C23:K23" si="0">SUM(C3,C8,C13,C18)</f>
        <v>-145512</v>
      </c>
      <c r="D23" s="112">
        <f t="shared" si="0"/>
        <v>-100366</v>
      </c>
      <c r="E23" s="112">
        <f t="shared" si="0"/>
        <v>-231653</v>
      </c>
      <c r="F23" s="112">
        <f t="shared" si="0"/>
        <v>-212942</v>
      </c>
      <c r="G23" s="112">
        <f t="shared" si="0"/>
        <v>-203364</v>
      </c>
      <c r="H23" s="112">
        <f t="shared" si="0"/>
        <v>0</v>
      </c>
      <c r="I23" s="112">
        <f t="shared" si="0"/>
        <v>0</v>
      </c>
      <c r="J23" s="112">
        <f t="shared" si="0"/>
        <v>0</v>
      </c>
      <c r="K23" s="112">
        <f t="shared" si="0"/>
        <v>-262688</v>
      </c>
    </row>
    <row r="24" spans="1:11">
      <c r="C24" s="100" t="e">
        <f>#REF!-C23</f>
        <v>#REF!</v>
      </c>
      <c r="D24" s="100" t="e">
        <f>#REF!-D23</f>
        <v>#REF!</v>
      </c>
      <c r="E24" s="100" t="e">
        <f>#REF!-E23</f>
        <v>#REF!</v>
      </c>
      <c r="F24" s="100" t="e">
        <f>#REF!-F23</f>
        <v>#REF!</v>
      </c>
      <c r="G24" s="100" t="e">
        <f>#REF!-G23</f>
        <v>#REF!</v>
      </c>
      <c r="H24" s="100" t="e">
        <f>#REF!-H23</f>
        <v>#REF!</v>
      </c>
      <c r="I24" s="100" t="e">
        <f>#REF!-I23</f>
        <v>#REF!</v>
      </c>
      <c r="J24" s="100" t="e">
        <f>#REF!-J23</f>
        <v>#REF!</v>
      </c>
      <c r="K24" s="100" t="e">
        <f>#REF!-K23</f>
        <v>#REF!</v>
      </c>
    </row>
    <row r="34" spans="8:8">
      <c r="H34" s="100" t="s">
        <v>334</v>
      </c>
    </row>
  </sheetData>
  <customSheetViews>
    <customSheetView guid="{25FAB884-5E17-4008-8139-33D910C7DEFE}"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election activeCell="O20" sqref="O20"/>
    </sheetView>
  </sheetViews>
  <sheetFormatPr defaultColWidth="9.140625" defaultRowHeight="15"/>
  <cols>
    <col min="1" max="1" width="3.7109375" style="117" customWidth="1"/>
    <col min="2" max="2" width="52.85546875" style="132" customWidth="1"/>
    <col min="3" max="3" width="53.85546875" style="132" customWidth="1"/>
    <col min="4" max="15" width="17.7109375" style="132" customWidth="1"/>
    <col min="18" max="16384" width="9.140625" style="117"/>
  </cols>
  <sheetData>
    <row r="1" spans="2:26" ht="26.25" thickBot="1">
      <c r="B1" s="114" t="s">
        <v>416</v>
      </c>
      <c r="C1" s="114" t="s">
        <v>432</v>
      </c>
      <c r="D1" s="116" t="s">
        <v>506</v>
      </c>
      <c r="E1" s="115" t="s">
        <v>505</v>
      </c>
      <c r="F1" s="115" t="s">
        <v>504</v>
      </c>
      <c r="G1" s="116" t="s">
        <v>607</v>
      </c>
      <c r="H1" s="116" t="s">
        <v>433</v>
      </c>
      <c r="I1" s="115" t="s">
        <v>452</v>
      </c>
      <c r="J1" s="115" t="s">
        <v>451</v>
      </c>
      <c r="K1" s="115" t="s">
        <v>450</v>
      </c>
      <c r="L1" s="115" t="s">
        <v>449</v>
      </c>
      <c r="M1" s="115" t="s">
        <v>605</v>
      </c>
      <c r="N1" s="115" t="s">
        <v>635</v>
      </c>
      <c r="O1" s="115" t="s">
        <v>675</v>
      </c>
    </row>
    <row r="2" spans="2:26" ht="12.6" customHeight="1">
      <c r="B2" s="118" t="s">
        <v>417</v>
      </c>
      <c r="C2" s="130" t="s">
        <v>434</v>
      </c>
      <c r="D2" s="119">
        <v>0.46800000000000003</v>
      </c>
      <c r="E2" s="119">
        <v>0.44600000000000001</v>
      </c>
      <c r="F2" s="119">
        <v>0.435</v>
      </c>
      <c r="G2" s="119">
        <v>0.434</v>
      </c>
      <c r="H2" s="119">
        <v>0.48899999999999999</v>
      </c>
      <c r="I2" s="119">
        <v>0.45200000000000001</v>
      </c>
      <c r="J2" s="119">
        <v>0.45</v>
      </c>
      <c r="K2" s="119">
        <v>0.432</v>
      </c>
      <c r="L2" s="119">
        <v>0.55200000000000005</v>
      </c>
      <c r="M2" s="119">
        <v>0.48799999999999999</v>
      </c>
      <c r="N2" s="119">
        <v>0.45800000000000002</v>
      </c>
      <c r="O2" s="119">
        <v>0.47299999999999998</v>
      </c>
      <c r="P2" s="304"/>
      <c r="Q2" s="304"/>
      <c r="R2" s="304"/>
      <c r="S2" s="304"/>
      <c r="T2" s="304"/>
      <c r="U2" s="304"/>
      <c r="V2" s="304"/>
      <c r="W2" s="304"/>
      <c r="X2" s="304"/>
      <c r="Y2" s="304"/>
      <c r="Z2" s="304"/>
    </row>
    <row r="3" spans="2:26" ht="12.6" customHeight="1">
      <c r="B3" s="120" t="s">
        <v>418</v>
      </c>
      <c r="C3" s="131" t="s">
        <v>435</v>
      </c>
      <c r="D3" s="121">
        <v>0.67800000000000005</v>
      </c>
      <c r="E3" s="121">
        <v>0.67200000000000004</v>
      </c>
      <c r="F3" s="121">
        <v>0.67700000000000005</v>
      </c>
      <c r="G3" s="121">
        <v>0.68</v>
      </c>
      <c r="H3" s="121">
        <v>0.7</v>
      </c>
      <c r="I3" s="121">
        <v>0.66800000000000004</v>
      </c>
      <c r="J3" s="121">
        <v>0.67600000000000005</v>
      </c>
      <c r="K3" s="121">
        <v>0.65900000000000003</v>
      </c>
      <c r="L3" s="121">
        <v>0.71699999999999997</v>
      </c>
      <c r="M3" s="121">
        <v>0.69599999999999995</v>
      </c>
      <c r="N3" s="121">
        <v>0.69499999999999995</v>
      </c>
      <c r="O3" s="121">
        <v>0.69399999999999995</v>
      </c>
      <c r="P3" s="304"/>
      <c r="Q3" s="304"/>
      <c r="R3" s="304"/>
      <c r="S3" s="304"/>
      <c r="T3" s="304"/>
      <c r="U3" s="304"/>
      <c r="V3" s="304"/>
      <c r="W3" s="304"/>
      <c r="X3" s="304"/>
      <c r="Y3" s="304"/>
      <c r="Z3" s="304"/>
    </row>
    <row r="4" spans="2:26" ht="12.6" customHeight="1">
      <c r="B4" s="120" t="s">
        <v>419</v>
      </c>
      <c r="C4" s="131" t="s">
        <v>436</v>
      </c>
      <c r="D4" s="122">
        <v>3.7400000000000003E-2</v>
      </c>
      <c r="E4" s="122">
        <v>3.78E-2</v>
      </c>
      <c r="F4" s="122">
        <v>3.7999999999999999E-2</v>
      </c>
      <c r="G4" s="122">
        <v>3.8300000000000001E-2</v>
      </c>
      <c r="H4" s="122">
        <v>3.95E-2</v>
      </c>
      <c r="I4" s="122">
        <v>3.85E-2</v>
      </c>
      <c r="J4" s="122">
        <v>3.7699999999999997E-2</v>
      </c>
      <c r="K4" s="122">
        <v>3.6600000000000001E-2</v>
      </c>
      <c r="L4" s="122">
        <v>3.4799999999999998E-2</v>
      </c>
      <c r="M4" s="122">
        <v>3.4799999999999998E-2</v>
      </c>
      <c r="N4" s="122">
        <v>3.5000000000000003E-2</v>
      </c>
      <c r="O4" s="122">
        <v>3.5000000000000003E-2</v>
      </c>
      <c r="P4" s="304"/>
      <c r="Q4" s="304"/>
      <c r="R4" s="304"/>
      <c r="S4" s="304"/>
      <c r="T4" s="304"/>
      <c r="U4" s="304"/>
      <c r="V4" s="304"/>
      <c r="W4" s="304"/>
      <c r="X4" s="304"/>
      <c r="Y4" s="304"/>
      <c r="Z4" s="304"/>
    </row>
    <row r="5" spans="2:26" ht="12.6" customHeight="1">
      <c r="B5" s="120" t="s">
        <v>420</v>
      </c>
      <c r="C5" s="131" t="s">
        <v>437</v>
      </c>
      <c r="D5" s="121">
        <v>0.25700000000000001</v>
      </c>
      <c r="E5" s="121">
        <v>0.255</v>
      </c>
      <c r="F5" s="121">
        <v>0.26</v>
      </c>
      <c r="G5" s="121">
        <v>0.25900000000000001</v>
      </c>
      <c r="H5" s="123">
        <v>0.25900000000000001</v>
      </c>
      <c r="I5" s="123">
        <v>0.25</v>
      </c>
      <c r="J5" s="123">
        <v>0.251</v>
      </c>
      <c r="K5" s="123">
        <v>0.23599999999999999</v>
      </c>
      <c r="L5" s="123">
        <v>0.23200000000000001</v>
      </c>
      <c r="M5" s="121">
        <v>0.22500000000000001</v>
      </c>
      <c r="N5" s="121">
        <v>0.224</v>
      </c>
      <c r="O5" s="123">
        <v>0.224</v>
      </c>
      <c r="P5" s="304"/>
      <c r="Q5" s="304"/>
      <c r="R5" s="304"/>
      <c r="S5" s="304"/>
      <c r="T5" s="304"/>
      <c r="U5" s="304"/>
      <c r="V5" s="304"/>
      <c r="W5" s="304"/>
      <c r="X5" s="304"/>
      <c r="Y5" s="304"/>
      <c r="Z5" s="304"/>
    </row>
    <row r="6" spans="2:26" ht="12.6" customHeight="1">
      <c r="B6" s="120" t="s">
        <v>421</v>
      </c>
      <c r="C6" s="131" t="s">
        <v>438</v>
      </c>
      <c r="D6" s="121">
        <v>0.95899999999999996</v>
      </c>
      <c r="E6" s="121">
        <v>0.96299999999999997</v>
      </c>
      <c r="F6" s="121">
        <v>0.95899999999999996</v>
      </c>
      <c r="G6" s="121">
        <v>0.96699999999999997</v>
      </c>
      <c r="H6" s="123">
        <v>0.96</v>
      </c>
      <c r="I6" s="123">
        <v>0.93600000000000005</v>
      </c>
      <c r="J6" s="123">
        <v>0.93500000000000005</v>
      </c>
      <c r="K6" s="123">
        <v>0.91900000000000004</v>
      </c>
      <c r="L6" s="123">
        <v>0.93899999999999995</v>
      </c>
      <c r="M6" s="121">
        <v>0.94</v>
      </c>
      <c r="N6" s="121">
        <v>0.95199999999999996</v>
      </c>
      <c r="O6" s="123">
        <v>0.91600000000000004</v>
      </c>
      <c r="P6" s="304"/>
      <c r="Q6" s="304"/>
      <c r="R6" s="304"/>
      <c r="S6" s="304"/>
      <c r="T6" s="304"/>
      <c r="U6" s="304"/>
      <c r="V6" s="304"/>
      <c r="W6" s="304"/>
      <c r="X6" s="304"/>
      <c r="Y6" s="304"/>
      <c r="Z6" s="304"/>
    </row>
    <row r="7" spans="2:26" ht="12.6" customHeight="1">
      <c r="B7" s="120" t="s">
        <v>422</v>
      </c>
      <c r="C7" s="131" t="s">
        <v>439</v>
      </c>
      <c r="D7" s="121">
        <v>6.4000000000000001E-2</v>
      </c>
      <c r="E7" s="121">
        <v>5.8999999999999997E-2</v>
      </c>
      <c r="F7" s="121">
        <v>0.06</v>
      </c>
      <c r="G7" s="121">
        <v>5.8000000000000003E-2</v>
      </c>
      <c r="H7" s="123">
        <v>0.06</v>
      </c>
      <c r="I7" s="123">
        <v>5.8000000000000003E-2</v>
      </c>
      <c r="J7" s="123">
        <v>5.5E-2</v>
      </c>
      <c r="K7" s="123">
        <v>4.5999999999999999E-2</v>
      </c>
      <c r="L7" s="123">
        <v>4.8000000000000001E-2</v>
      </c>
      <c r="M7" s="121">
        <v>4.7E-2</v>
      </c>
      <c r="N7" s="121">
        <v>0.05</v>
      </c>
      <c r="O7" s="123">
        <v>5.1999999999999998E-2</v>
      </c>
      <c r="P7" s="304"/>
      <c r="Q7" s="304"/>
      <c r="R7" s="304"/>
      <c r="S7" s="304"/>
      <c r="T7" s="304"/>
      <c r="U7" s="304"/>
      <c r="V7" s="304"/>
      <c r="W7" s="304"/>
      <c r="X7" s="304"/>
      <c r="Y7" s="304"/>
      <c r="Z7" s="304"/>
    </row>
    <row r="8" spans="2:26" ht="12.6" customHeight="1">
      <c r="B8" s="120" t="s">
        <v>423</v>
      </c>
      <c r="C8" s="131" t="s">
        <v>440</v>
      </c>
      <c r="D8" s="121">
        <v>0.59199999999999997</v>
      </c>
      <c r="E8" s="121">
        <v>0.621</v>
      </c>
      <c r="F8" s="121">
        <v>0.628</v>
      </c>
      <c r="G8" s="121">
        <v>0.63100000000000001</v>
      </c>
      <c r="H8" s="123">
        <v>0.627</v>
      </c>
      <c r="I8" s="123">
        <v>0.63800000000000001</v>
      </c>
      <c r="J8" s="123">
        <v>0.63600000000000001</v>
      </c>
      <c r="K8" s="123">
        <v>0.50900000000000001</v>
      </c>
      <c r="L8" s="123">
        <v>0.52</v>
      </c>
      <c r="M8" s="121">
        <v>0.53600000000000003</v>
      </c>
      <c r="N8" s="121">
        <v>0.53400000000000003</v>
      </c>
      <c r="O8" s="123">
        <v>0.53800000000000003</v>
      </c>
      <c r="P8" s="304"/>
      <c r="Q8" s="304"/>
      <c r="R8" s="304"/>
      <c r="S8" s="304"/>
      <c r="T8" s="304"/>
      <c r="U8" s="304"/>
      <c r="V8" s="304"/>
      <c r="W8" s="304"/>
      <c r="X8" s="304"/>
      <c r="Y8" s="304"/>
      <c r="Z8" s="304"/>
    </row>
    <row r="9" spans="2:26" ht="12.6" customHeight="1">
      <c r="B9" s="120" t="s">
        <v>424</v>
      </c>
      <c r="C9" s="131" t="s">
        <v>441</v>
      </c>
      <c r="D9" s="122">
        <v>7.3000000000000001E-3</v>
      </c>
      <c r="E9" s="122">
        <v>6.6E-3</v>
      </c>
      <c r="F9" s="122">
        <v>6.4000000000000003E-3</v>
      </c>
      <c r="G9" s="122">
        <v>6.3E-3</v>
      </c>
      <c r="H9" s="124">
        <v>6.6E-3</v>
      </c>
      <c r="I9" s="124">
        <v>7.9000000000000008E-3</v>
      </c>
      <c r="J9" s="124">
        <v>8.0000000000000002E-3</v>
      </c>
      <c r="K9" s="124">
        <v>8.6E-3</v>
      </c>
      <c r="L9" s="124">
        <v>8.0999999999999996E-3</v>
      </c>
      <c r="M9" s="122">
        <v>8.8000000000000005E-3</v>
      </c>
      <c r="N9" s="122">
        <v>9.1999999999999998E-3</v>
      </c>
      <c r="O9" s="124">
        <v>8.9999999999999993E-3</v>
      </c>
      <c r="P9" s="304"/>
      <c r="Q9" s="304"/>
      <c r="R9" s="304"/>
      <c r="S9" s="304"/>
      <c r="T9" s="304"/>
      <c r="U9" s="304"/>
      <c r="V9" s="304"/>
      <c r="W9" s="304"/>
      <c r="X9" s="304"/>
      <c r="Y9" s="304"/>
      <c r="Z9" s="304"/>
    </row>
    <row r="10" spans="2:26" ht="12.6" customHeight="1">
      <c r="B10" s="120" t="s">
        <v>425</v>
      </c>
      <c r="C10" s="131" t="s">
        <v>442</v>
      </c>
      <c r="D10" s="121">
        <v>0.115</v>
      </c>
      <c r="E10" s="121">
        <v>0.11</v>
      </c>
      <c r="F10" s="121">
        <v>0.11700000000000001</v>
      </c>
      <c r="G10" s="121">
        <v>0.121</v>
      </c>
      <c r="H10" s="123">
        <v>0.113</v>
      </c>
      <c r="I10" s="123">
        <v>0.113</v>
      </c>
      <c r="J10" s="123">
        <v>0.11</v>
      </c>
      <c r="K10" s="123">
        <v>0.11899999999999999</v>
      </c>
      <c r="L10" s="123">
        <v>0.104</v>
      </c>
      <c r="M10" s="121">
        <v>0.10100000000000001</v>
      </c>
      <c r="N10" s="121">
        <v>0.11</v>
      </c>
      <c r="O10" s="123">
        <v>9.7000000000000003E-2</v>
      </c>
      <c r="P10" s="304"/>
      <c r="Q10" s="304"/>
      <c r="R10" s="304"/>
      <c r="S10" s="304"/>
      <c r="T10" s="304"/>
      <c r="U10" s="304"/>
      <c r="V10" s="304"/>
      <c r="W10" s="304"/>
      <c r="X10" s="304"/>
      <c r="Y10" s="304"/>
      <c r="Z10" s="304"/>
    </row>
    <row r="11" spans="2:26" ht="12.6" customHeight="1">
      <c r="B11" s="120" t="s">
        <v>426</v>
      </c>
      <c r="C11" s="131" t="s">
        <v>443</v>
      </c>
      <c r="D11" s="121">
        <v>0.13300000000000001</v>
      </c>
      <c r="E11" s="121">
        <v>0.128</v>
      </c>
      <c r="F11" s="121">
        <v>0.13700000000000001</v>
      </c>
      <c r="G11" s="121">
        <v>0.14199999999999999</v>
      </c>
      <c r="H11" s="123">
        <v>0.13300000000000001</v>
      </c>
      <c r="I11" s="123">
        <v>0.13300000000000001</v>
      </c>
      <c r="J11" s="123">
        <v>0.13</v>
      </c>
      <c r="K11" s="123">
        <v>0.14199999999999999</v>
      </c>
      <c r="L11" s="123">
        <v>0.124</v>
      </c>
      <c r="M11" s="121">
        <v>0.121</v>
      </c>
      <c r="N11" s="121">
        <v>0.13200000000000001</v>
      </c>
      <c r="O11" s="123">
        <v>0.11700000000000001</v>
      </c>
      <c r="P11" s="304"/>
      <c r="Q11" s="304"/>
      <c r="R11" s="304"/>
      <c r="S11" s="304"/>
      <c r="T11" s="304"/>
      <c r="U11" s="304"/>
      <c r="V11" s="304"/>
      <c r="W11" s="304"/>
      <c r="X11" s="304"/>
      <c r="Y11" s="304"/>
      <c r="Z11" s="304"/>
    </row>
    <row r="12" spans="2:26" ht="12.6" customHeight="1">
      <c r="B12" s="120" t="s">
        <v>427</v>
      </c>
      <c r="C12" s="131" t="s">
        <v>444</v>
      </c>
      <c r="D12" s="121">
        <v>1.4E-2</v>
      </c>
      <c r="E12" s="121">
        <v>1.2999999999999999E-2</v>
      </c>
      <c r="F12" s="121">
        <v>1.4E-2</v>
      </c>
      <c r="G12" s="121">
        <v>1.4E-2</v>
      </c>
      <c r="H12" s="123">
        <v>1.4E-2</v>
      </c>
      <c r="I12" s="123">
        <v>1.2999999999999999E-2</v>
      </c>
      <c r="J12" s="123">
        <v>1.2999999999999999E-2</v>
      </c>
      <c r="K12" s="123">
        <v>1.2999999999999999E-2</v>
      </c>
      <c r="L12" s="123">
        <v>1.0999999999999999E-2</v>
      </c>
      <c r="M12" s="121">
        <v>1.0999999999999999E-2</v>
      </c>
      <c r="N12" s="121">
        <v>1.2E-2</v>
      </c>
      <c r="O12" s="123">
        <v>0.01</v>
      </c>
      <c r="P12" s="304"/>
      <c r="Q12" s="304"/>
      <c r="R12" s="304"/>
      <c r="S12" s="304"/>
      <c r="T12" s="304"/>
      <c r="U12" s="304"/>
      <c r="V12" s="304"/>
      <c r="W12" s="304"/>
      <c r="X12" s="304"/>
      <c r="Y12" s="304"/>
      <c r="Z12" s="304"/>
    </row>
    <row r="13" spans="2:26" ht="12.6" customHeight="1">
      <c r="B13" s="120" t="s">
        <v>428</v>
      </c>
      <c r="C13" s="131" t="s">
        <v>445</v>
      </c>
      <c r="D13" s="122">
        <v>0.15670000000000001</v>
      </c>
      <c r="E13" s="122">
        <v>0.1651</v>
      </c>
      <c r="F13" s="122">
        <v>0.16900000000000001</v>
      </c>
      <c r="G13" s="122">
        <v>0.16689999999999999</v>
      </c>
      <c r="H13" s="124">
        <v>0.16669999999999999</v>
      </c>
      <c r="I13" s="124">
        <v>0.17780000000000001</v>
      </c>
      <c r="J13" s="124">
        <v>0.17610000000000001</v>
      </c>
      <c r="K13" s="124">
        <v>0.1598</v>
      </c>
      <c r="L13" s="124">
        <v>0.16470000000000001</v>
      </c>
      <c r="M13" s="122">
        <v>0.16259999999999999</v>
      </c>
      <c r="N13" s="122">
        <v>0.16139999999999999</v>
      </c>
      <c r="O13" s="124">
        <v>0.17100000000000001</v>
      </c>
      <c r="P13" s="304"/>
      <c r="Q13" s="304"/>
      <c r="R13" s="304"/>
      <c r="S13" s="304"/>
      <c r="T13" s="304"/>
      <c r="U13" s="304"/>
      <c r="V13" s="304"/>
      <c r="W13" s="304"/>
      <c r="X13" s="304"/>
      <c r="Y13" s="304"/>
      <c r="Z13" s="304"/>
    </row>
    <row r="14" spans="2:26" ht="12.6" customHeight="1">
      <c r="B14" s="120" t="s">
        <v>429</v>
      </c>
      <c r="C14" s="131" t="s">
        <v>446</v>
      </c>
      <c r="D14" s="122">
        <v>0.14699999999999999</v>
      </c>
      <c r="E14" s="122">
        <v>0.15529999999999999</v>
      </c>
      <c r="F14" s="122">
        <v>0.15920000000000001</v>
      </c>
      <c r="G14" s="122">
        <v>0.15279999999999999</v>
      </c>
      <c r="H14" s="122">
        <v>0.15310000000000001</v>
      </c>
      <c r="I14" s="122">
        <v>0.15629999999999999</v>
      </c>
      <c r="J14" s="122">
        <v>0.15509999999999999</v>
      </c>
      <c r="K14" s="122">
        <v>0.1411</v>
      </c>
      <c r="L14" s="122">
        <v>0.14630000000000001</v>
      </c>
      <c r="M14" s="122">
        <v>0.14449999999999999</v>
      </c>
      <c r="N14" s="122">
        <v>0.1431</v>
      </c>
      <c r="O14" s="122">
        <v>0.152</v>
      </c>
      <c r="P14" s="304"/>
      <c r="Q14" s="304"/>
      <c r="R14" s="304"/>
      <c r="S14" s="304"/>
      <c r="T14" s="304"/>
      <c r="U14" s="304"/>
      <c r="V14" s="304"/>
      <c r="W14" s="304"/>
      <c r="X14" s="304"/>
      <c r="Y14" s="304"/>
      <c r="Z14" s="304"/>
    </row>
    <row r="15" spans="2:26" ht="12.6" customHeight="1">
      <c r="B15" s="120" t="s">
        <v>430</v>
      </c>
      <c r="C15" s="131" t="s">
        <v>447</v>
      </c>
      <c r="D15" s="125">
        <v>218.58</v>
      </c>
      <c r="E15" s="125">
        <v>220.65</v>
      </c>
      <c r="F15" s="125">
        <v>228</v>
      </c>
      <c r="G15" s="125">
        <v>234.86</v>
      </c>
      <c r="H15" s="125">
        <v>239.04</v>
      </c>
      <c r="I15" s="125">
        <v>241.21</v>
      </c>
      <c r="J15" s="125">
        <v>246.75</v>
      </c>
      <c r="K15" s="125">
        <v>260.51</v>
      </c>
      <c r="L15" s="125">
        <v>262.42</v>
      </c>
      <c r="M15" s="125">
        <v>250.07</v>
      </c>
      <c r="N15" s="125">
        <v>258.77999999999997</v>
      </c>
      <c r="O15" s="125">
        <v>264.27999999999997</v>
      </c>
      <c r="P15" s="304"/>
      <c r="Q15" s="304"/>
      <c r="R15" s="304"/>
      <c r="S15" s="304"/>
      <c r="T15" s="304"/>
      <c r="U15" s="304"/>
      <c r="V15" s="304"/>
      <c r="W15" s="304"/>
      <c r="X15" s="304"/>
      <c r="Y15" s="304"/>
      <c r="Z15" s="304"/>
    </row>
    <row r="16" spans="2:26" ht="13.5" customHeight="1" thickBot="1">
      <c r="B16" s="126" t="s">
        <v>431</v>
      </c>
      <c r="C16" s="126" t="s">
        <v>448</v>
      </c>
      <c r="D16" s="127">
        <v>4.5599999999999996</v>
      </c>
      <c r="E16" s="127">
        <v>11.09</v>
      </c>
      <c r="F16" s="127">
        <v>16.57</v>
      </c>
      <c r="G16" s="127">
        <v>22.15</v>
      </c>
      <c r="H16" s="127">
        <v>4.37</v>
      </c>
      <c r="I16" s="127">
        <v>10.85</v>
      </c>
      <c r="J16" s="127">
        <v>15.86</v>
      </c>
      <c r="K16" s="127">
        <v>23.7</v>
      </c>
      <c r="L16" s="127">
        <v>3.32</v>
      </c>
      <c r="M16" s="299">
        <v>9.16</v>
      </c>
      <c r="N16" s="299">
        <v>15.98</v>
      </c>
      <c r="O16" s="127">
        <v>20.95</v>
      </c>
      <c r="P16" s="304"/>
      <c r="Q16" s="304"/>
      <c r="R16" s="304"/>
      <c r="S16" s="304"/>
      <c r="T16" s="304"/>
      <c r="U16" s="304"/>
      <c r="V16" s="304"/>
      <c r="W16" s="304"/>
      <c r="X16" s="304"/>
      <c r="Y16" s="304"/>
      <c r="Z16" s="304"/>
    </row>
    <row r="17" spans="1:15" ht="13.5" customHeight="1">
      <c r="B17" s="128"/>
      <c r="C17" s="128"/>
      <c r="D17" s="129"/>
      <c r="E17" s="129"/>
      <c r="F17" s="129"/>
      <c r="G17" s="129"/>
      <c r="H17" s="129"/>
      <c r="I17" s="129"/>
      <c r="J17" s="129"/>
      <c r="K17" s="129"/>
      <c r="L17" s="129"/>
      <c r="M17" s="129"/>
      <c r="N17" s="129"/>
      <c r="O17" s="129"/>
    </row>
    <row r="18" spans="1:15" ht="61.5" customHeight="1">
      <c r="A18" s="148" t="s">
        <v>453</v>
      </c>
      <c r="B18" s="249" t="s">
        <v>676</v>
      </c>
      <c r="C18" s="259" t="s">
        <v>677</v>
      </c>
      <c r="D18" s="117"/>
      <c r="G18" s="211"/>
      <c r="H18" s="211"/>
      <c r="I18" s="211"/>
      <c r="J18" s="211"/>
      <c r="K18" s="211"/>
      <c r="L18" s="211"/>
      <c r="M18" s="211"/>
      <c r="N18" s="211"/>
      <c r="O18" s="211"/>
    </row>
    <row r="19" spans="1:15" ht="29.25">
      <c r="A19" s="148" t="s">
        <v>454</v>
      </c>
      <c r="B19" s="429" t="s">
        <v>679</v>
      </c>
      <c r="C19" s="429" t="s">
        <v>678</v>
      </c>
      <c r="I19" s="211"/>
      <c r="J19" s="211"/>
      <c r="K19" s="211"/>
      <c r="L19" s="211"/>
      <c r="M19" s="211"/>
      <c r="N19" s="211"/>
      <c r="O19" s="211"/>
    </row>
    <row r="20" spans="1:15" ht="29.25">
      <c r="A20" s="148" t="s">
        <v>455</v>
      </c>
      <c r="B20" s="249" t="s">
        <v>680</v>
      </c>
      <c r="C20" s="429" t="s">
        <v>681</v>
      </c>
      <c r="I20" s="211"/>
      <c r="J20" s="211"/>
      <c r="K20" s="211"/>
      <c r="L20" s="211"/>
      <c r="M20" s="211"/>
      <c r="N20" s="211"/>
      <c r="O20" s="211"/>
    </row>
    <row r="21" spans="1:15" ht="29.25">
      <c r="A21" s="148" t="s">
        <v>456</v>
      </c>
      <c r="B21" s="249" t="s">
        <v>572</v>
      </c>
      <c r="C21" s="259" t="s">
        <v>573</v>
      </c>
      <c r="I21" s="211"/>
      <c r="J21" s="211"/>
      <c r="K21" s="211"/>
      <c r="L21" s="211"/>
      <c r="M21" s="211"/>
      <c r="N21" s="211"/>
      <c r="O21" s="211"/>
    </row>
    <row r="22" spans="1:15" ht="29.25">
      <c r="A22" s="148" t="s">
        <v>457</v>
      </c>
      <c r="B22" s="249" t="s">
        <v>458</v>
      </c>
      <c r="C22" s="259" t="s">
        <v>574</v>
      </c>
      <c r="D22" s="117"/>
      <c r="G22" s="211"/>
      <c r="H22" s="211"/>
      <c r="I22" s="211"/>
      <c r="J22" s="211"/>
      <c r="K22" s="211"/>
      <c r="L22" s="211"/>
      <c r="M22" s="211"/>
      <c r="N22" s="211"/>
      <c r="O22" s="211"/>
    </row>
    <row r="23" spans="1:15" ht="48.75">
      <c r="A23" s="148" t="s">
        <v>459</v>
      </c>
      <c r="B23" s="249" t="s">
        <v>460</v>
      </c>
      <c r="C23" s="259" t="s">
        <v>575</v>
      </c>
      <c r="D23" s="117"/>
      <c r="G23" s="211"/>
      <c r="H23" s="211"/>
      <c r="I23" s="211"/>
      <c r="J23" s="211"/>
      <c r="K23" s="211"/>
      <c r="L23" s="211"/>
      <c r="M23" s="211"/>
      <c r="N23" s="211"/>
      <c r="O23" s="211"/>
    </row>
    <row r="24" spans="1:15" ht="22.5" customHeight="1">
      <c r="A24" s="148" t="s">
        <v>461</v>
      </c>
      <c r="B24" s="249" t="s">
        <v>462</v>
      </c>
      <c r="C24" s="259" t="s">
        <v>576</v>
      </c>
      <c r="D24" s="117"/>
      <c r="G24" s="211"/>
      <c r="H24" s="211"/>
      <c r="I24" s="211"/>
      <c r="J24" s="211"/>
      <c r="K24" s="211"/>
      <c r="L24" s="211"/>
      <c r="M24" s="211"/>
      <c r="N24" s="211"/>
      <c r="O24" s="211"/>
    </row>
    <row r="25" spans="1:15" ht="29.25">
      <c r="A25" s="148" t="s">
        <v>463</v>
      </c>
      <c r="B25" s="249" t="s">
        <v>464</v>
      </c>
      <c r="C25" s="259" t="s">
        <v>577</v>
      </c>
      <c r="D25" s="117"/>
      <c r="G25" s="211"/>
      <c r="H25" s="211"/>
      <c r="I25" s="211"/>
      <c r="J25" s="211"/>
      <c r="K25" s="211"/>
      <c r="L25" s="211"/>
      <c r="M25" s="211"/>
      <c r="N25" s="211"/>
      <c r="O25" s="211"/>
    </row>
    <row r="26" spans="1:15" ht="19.5">
      <c r="A26" s="148" t="s">
        <v>465</v>
      </c>
      <c r="B26" s="249" t="s">
        <v>466</v>
      </c>
      <c r="C26" s="259" t="s">
        <v>578</v>
      </c>
      <c r="D26" s="117"/>
      <c r="G26" s="211"/>
      <c r="H26" s="211"/>
      <c r="I26" s="211"/>
      <c r="J26" s="211"/>
      <c r="K26" s="211"/>
      <c r="L26" s="211"/>
      <c r="M26" s="211"/>
      <c r="N26" s="211"/>
      <c r="O26" s="211"/>
    </row>
    <row r="27" spans="1:15" ht="19.5">
      <c r="A27" s="148" t="s">
        <v>467</v>
      </c>
      <c r="B27" s="249" t="s">
        <v>682</v>
      </c>
      <c r="C27" s="259" t="s">
        <v>579</v>
      </c>
      <c r="D27" s="117"/>
      <c r="G27" s="211"/>
      <c r="H27" s="211"/>
      <c r="I27" s="211"/>
      <c r="J27" s="211"/>
      <c r="K27" s="211"/>
      <c r="L27" s="211"/>
      <c r="M27" s="211"/>
      <c r="N27" s="211"/>
      <c r="O27" s="211"/>
    </row>
  </sheetData>
  <customSheetViews>
    <customSheetView guid="{25FAB884-5E17-4008-8139-33D910C7DEFE}">
      <selection activeCell="F20" sqref="F20"/>
      <pageMargins left="0.7" right="0.7" top="0.75" bottom="0.75" header="0.3" footer="0.3"/>
      <pageSetup paperSize="9" orientation="portrait" r:id="rId1"/>
    </customSheetView>
    <customSheetView guid="{8DA78CF1-615A-4626-9893-6751995631A4}" showGridLines="0">
      <selection activeCell="C9" sqref="C9"/>
      <pageMargins left="0.7" right="0.7" top="0.75" bottom="0.75" header="0.3" footer="0.3"/>
      <pageSetup paperSize="9" orientation="portrait" r:id="rId2"/>
    </customSheetView>
    <customSheetView guid="{687A4863-1825-4D63-B732-E76682E6DE4F}" showGridLines="0">
      <selection activeCell="B37" sqref="B37"/>
      <pageMargins left="0.7" right="0.7" top="0.75" bottom="0.75" header="0.3" footer="0.3"/>
      <pageSetup paperSize="9" orientation="portrait" r:id="rId3"/>
    </customSheetView>
    <customSheetView guid="{899D69CD-4B7E-42BC-9944-5BD922EB798C}">
      <selection activeCell="F20" sqref="F20"/>
      <pageMargins left="0.7" right="0.7" top="0.75" bottom="0.75" header="0.3" footer="0.3"/>
      <pageSetup paperSize="9" orientation="portrait" r:id="rId4"/>
    </customSheetView>
    <customSheetView guid="{9AF4A83C-CF57-4B40-8A74-6A0EA6C2FE5C}" showGridLines="0" topLeftCell="D1">
      <selection activeCell="K23" sqref="K23"/>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12F8D032-8143-430B-8DFF-852E8796C402}" showGridLines="0" topLeftCell="A13">
      <selection activeCell="B18" sqref="B18"/>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2"/>
  <sheetViews>
    <sheetView showGridLines="0" topLeftCell="B1" workbookViewId="0">
      <selection activeCell="G18" sqref="G18"/>
    </sheetView>
  </sheetViews>
  <sheetFormatPr defaultColWidth="9.140625" defaultRowHeight="16.5"/>
  <cols>
    <col min="1" max="1" width="1.5703125" style="135" customWidth="1"/>
    <col min="2" max="2" width="4.42578125" style="135" customWidth="1"/>
    <col min="3" max="3" width="39.85546875" style="135" customWidth="1"/>
    <col min="4" max="4" width="38.140625" style="135" customWidth="1"/>
    <col min="5" max="5" width="6.85546875" style="135" bestFit="1" customWidth="1"/>
    <col min="6" max="6" width="6.85546875" style="135" customWidth="1"/>
    <col min="7" max="7" width="16.7109375" style="143" customWidth="1"/>
    <col min="8" max="10" width="16.7109375" style="135" customWidth="1"/>
    <col min="11" max="11" width="16.7109375" style="143" customWidth="1"/>
    <col min="12" max="18" width="16.7109375" style="135" customWidth="1"/>
    <col min="19" max="16384" width="9.140625" style="135"/>
  </cols>
  <sheetData>
    <row r="1" spans="3:28" ht="12" customHeight="1">
      <c r="C1" s="138"/>
      <c r="D1" s="138"/>
      <c r="E1" s="138"/>
      <c r="F1" s="138"/>
      <c r="G1" s="142"/>
      <c r="H1" s="142"/>
      <c r="I1" s="142"/>
      <c r="J1" s="142"/>
      <c r="K1" s="142"/>
      <c r="L1" s="142"/>
      <c r="M1" s="142"/>
      <c r="N1" s="142"/>
      <c r="O1" s="142"/>
      <c r="P1" s="142"/>
      <c r="Q1" s="142"/>
      <c r="R1" s="142"/>
    </row>
    <row r="2" spans="3:28" ht="26.25" customHeight="1">
      <c r="C2" s="133" t="s">
        <v>470</v>
      </c>
      <c r="D2" s="133" t="s">
        <v>480</v>
      </c>
      <c r="E2" s="133"/>
      <c r="F2" s="133"/>
      <c r="G2" s="134"/>
      <c r="H2" s="133"/>
      <c r="I2" s="133"/>
      <c r="J2" s="133"/>
      <c r="K2" s="134"/>
      <c r="L2" s="133"/>
      <c r="M2" s="133"/>
      <c r="N2" s="133"/>
      <c r="O2" s="133"/>
      <c r="P2" s="133"/>
      <c r="Q2" s="133"/>
      <c r="R2" s="133"/>
    </row>
    <row r="3" spans="3:28" ht="15.75" customHeight="1" thickBot="1">
      <c r="C3" s="136" t="s">
        <v>471</v>
      </c>
      <c r="D3" s="136" t="s">
        <v>481</v>
      </c>
      <c r="E3" s="136"/>
      <c r="F3" s="136"/>
      <c r="G3" s="223" t="s">
        <v>502</v>
      </c>
      <c r="H3" s="223" t="s">
        <v>166</v>
      </c>
      <c r="I3" s="223" t="s">
        <v>167</v>
      </c>
      <c r="J3" s="223" t="s">
        <v>491</v>
      </c>
      <c r="K3" s="223" t="s">
        <v>469</v>
      </c>
      <c r="L3" s="223" t="s">
        <v>170</v>
      </c>
      <c r="M3" s="223" t="s">
        <v>171</v>
      </c>
      <c r="N3" s="223" t="s">
        <v>490</v>
      </c>
      <c r="O3" s="223" t="s">
        <v>468</v>
      </c>
      <c r="P3" s="137" t="s">
        <v>606</v>
      </c>
      <c r="Q3" s="137" t="s">
        <v>636</v>
      </c>
      <c r="R3" s="137" t="s">
        <v>674</v>
      </c>
    </row>
    <row r="4" spans="3:28" ht="12" customHeight="1">
      <c r="C4" s="138" t="s">
        <v>586</v>
      </c>
      <c r="D4" s="138" t="s">
        <v>587</v>
      </c>
      <c r="E4" s="139" t="s">
        <v>496</v>
      </c>
      <c r="F4" s="139" t="s">
        <v>498</v>
      </c>
      <c r="G4" s="146">
        <v>3212</v>
      </c>
      <c r="H4" s="146">
        <v>3253</v>
      </c>
      <c r="I4" s="146">
        <v>3314</v>
      </c>
      <c r="J4" s="146">
        <v>3388</v>
      </c>
      <c r="K4" s="146">
        <v>3452</v>
      </c>
      <c r="L4" s="146">
        <v>3526</v>
      </c>
      <c r="M4" s="146">
        <v>3601</v>
      </c>
      <c r="N4" s="146">
        <v>4019</v>
      </c>
      <c r="O4" s="146">
        <v>4126</v>
      </c>
      <c r="P4" s="146">
        <v>4229</v>
      </c>
      <c r="Q4" s="146">
        <v>4293</v>
      </c>
      <c r="R4" s="146">
        <v>4424</v>
      </c>
      <c r="S4" s="305"/>
      <c r="T4" s="305"/>
      <c r="U4" s="305"/>
      <c r="V4" s="305"/>
      <c r="W4" s="305"/>
      <c r="X4" s="305"/>
      <c r="Y4" s="305"/>
      <c r="Z4" s="305"/>
      <c r="AA4" s="305"/>
      <c r="AB4" s="305"/>
    </row>
    <row r="5" spans="3:28" ht="12" customHeight="1">
      <c r="C5" s="244" t="s">
        <v>584</v>
      </c>
      <c r="D5" s="138" t="s">
        <v>585</v>
      </c>
      <c r="E5" s="139" t="s">
        <v>497</v>
      </c>
      <c r="F5" s="139" t="s">
        <v>498</v>
      </c>
      <c r="G5" s="146">
        <v>2002</v>
      </c>
      <c r="H5" s="146">
        <v>2007</v>
      </c>
      <c r="I5" s="146">
        <v>2017</v>
      </c>
      <c r="J5" s="146">
        <v>2056</v>
      </c>
      <c r="K5" s="146">
        <v>2111</v>
      </c>
      <c r="L5" s="146">
        <v>2136</v>
      </c>
      <c r="M5" s="146">
        <v>2175</v>
      </c>
      <c r="N5" s="146">
        <v>2345</v>
      </c>
      <c r="O5" s="146">
        <v>2401</v>
      </c>
      <c r="P5" s="146">
        <v>2408</v>
      </c>
      <c r="Q5" s="146">
        <v>2459</v>
      </c>
      <c r="R5" s="146">
        <v>2510</v>
      </c>
      <c r="S5" s="305"/>
      <c r="T5" s="305"/>
      <c r="U5" s="305"/>
      <c r="V5" s="305"/>
      <c r="W5" s="305"/>
      <c r="X5" s="305"/>
      <c r="Y5" s="305"/>
      <c r="Z5" s="305"/>
      <c r="AA5" s="305"/>
      <c r="AB5" s="305"/>
    </row>
    <row r="6" spans="3:28" ht="12" customHeight="1">
      <c r="C6" s="138" t="s">
        <v>596</v>
      </c>
      <c r="D6" s="138" t="s">
        <v>597</v>
      </c>
      <c r="E6" s="139" t="s">
        <v>497</v>
      </c>
      <c r="F6" s="139" t="s">
        <v>498</v>
      </c>
      <c r="G6" s="146">
        <v>909</v>
      </c>
      <c r="H6" s="146">
        <v>963</v>
      </c>
      <c r="I6" s="146">
        <v>1015</v>
      </c>
      <c r="J6" s="146">
        <v>1094</v>
      </c>
      <c r="K6" s="146">
        <v>1139</v>
      </c>
      <c r="L6" s="146">
        <v>1183</v>
      </c>
      <c r="M6" s="146">
        <v>1244</v>
      </c>
      <c r="N6" s="146">
        <v>1337</v>
      </c>
      <c r="O6" s="146">
        <v>1400</v>
      </c>
      <c r="P6" s="146">
        <v>1461</v>
      </c>
      <c r="Q6" s="146">
        <v>1527</v>
      </c>
      <c r="R6" s="146">
        <v>1577</v>
      </c>
      <c r="S6" s="305"/>
      <c r="T6" s="305"/>
      <c r="U6" s="305"/>
      <c r="V6" s="305"/>
      <c r="W6" s="305"/>
      <c r="X6" s="305"/>
      <c r="Y6" s="305"/>
      <c r="Z6" s="305"/>
      <c r="AA6" s="305"/>
      <c r="AB6" s="305"/>
    </row>
    <row r="7" spans="3:28" ht="10.5" customHeight="1">
      <c r="C7" s="212" t="s">
        <v>472</v>
      </c>
      <c r="D7" s="212" t="s">
        <v>482</v>
      </c>
      <c r="E7" s="213" t="s">
        <v>497</v>
      </c>
      <c r="F7" s="213" t="s">
        <v>498</v>
      </c>
      <c r="G7" s="220">
        <v>3470</v>
      </c>
      <c r="H7" s="220">
        <v>3471</v>
      </c>
      <c r="I7" s="220">
        <v>3538</v>
      </c>
      <c r="J7" s="220">
        <v>3624</v>
      </c>
      <c r="K7" s="220">
        <v>3630</v>
      </c>
      <c r="L7" s="220">
        <v>3694</v>
      </c>
      <c r="M7" s="220">
        <v>3761</v>
      </c>
      <c r="N7" s="220">
        <v>3981</v>
      </c>
      <c r="O7" s="220">
        <v>4082</v>
      </c>
      <c r="P7" s="298">
        <v>4054</v>
      </c>
      <c r="Q7" s="298">
        <v>4136</v>
      </c>
      <c r="R7" s="298">
        <v>4163</v>
      </c>
      <c r="S7" s="305"/>
      <c r="T7" s="305"/>
      <c r="U7" s="305"/>
      <c r="V7" s="305"/>
      <c r="W7" s="305"/>
      <c r="X7" s="305"/>
      <c r="Y7" s="305"/>
      <c r="Z7" s="305"/>
      <c r="AA7" s="305"/>
      <c r="AB7" s="305"/>
    </row>
    <row r="8" spans="3:28" ht="10.5" customHeight="1">
      <c r="C8" s="140" t="s">
        <v>473</v>
      </c>
      <c r="D8" s="140" t="s">
        <v>483</v>
      </c>
      <c r="E8" s="141" t="s">
        <v>496</v>
      </c>
      <c r="F8" s="141" t="s">
        <v>498</v>
      </c>
      <c r="G8" s="149">
        <v>1225</v>
      </c>
      <c r="H8" s="149">
        <v>1233</v>
      </c>
      <c r="I8" s="149">
        <v>1257</v>
      </c>
      <c r="J8" s="149">
        <v>1271</v>
      </c>
      <c r="K8" s="149">
        <v>1272</v>
      </c>
      <c r="L8" s="149">
        <v>1273</v>
      </c>
      <c r="M8" s="149">
        <v>1279</v>
      </c>
      <c r="N8" s="149">
        <v>1325</v>
      </c>
      <c r="O8" s="149">
        <v>1331</v>
      </c>
      <c r="P8" s="221">
        <v>1302</v>
      </c>
      <c r="Q8" s="221">
        <v>1289</v>
      </c>
      <c r="R8" s="221">
        <v>1270</v>
      </c>
      <c r="S8" s="305"/>
      <c r="T8" s="305"/>
      <c r="U8" s="305"/>
      <c r="V8" s="305"/>
      <c r="W8" s="305"/>
      <c r="X8" s="305"/>
      <c r="Y8" s="305"/>
      <c r="Z8" s="305"/>
      <c r="AA8" s="305"/>
      <c r="AB8" s="305"/>
    </row>
    <row r="9" spans="3:28" ht="12" customHeight="1">
      <c r="C9" s="138" t="s">
        <v>474</v>
      </c>
      <c r="D9" s="138" t="s">
        <v>484</v>
      </c>
      <c r="E9" s="139" t="s">
        <v>496</v>
      </c>
      <c r="F9" s="139" t="s">
        <v>498</v>
      </c>
      <c r="G9" s="146">
        <v>6387</v>
      </c>
      <c r="H9" s="146">
        <v>6402</v>
      </c>
      <c r="I9" s="146">
        <v>6353</v>
      </c>
      <c r="J9" s="146">
        <v>6454</v>
      </c>
      <c r="K9" s="146">
        <v>6487</v>
      </c>
      <c r="L9" s="146">
        <v>6532</v>
      </c>
      <c r="M9" s="146">
        <v>6539</v>
      </c>
      <c r="N9" s="146">
        <v>6956</v>
      </c>
      <c r="O9" s="146">
        <v>6995</v>
      </c>
      <c r="P9" s="146">
        <v>7049</v>
      </c>
      <c r="Q9" s="146">
        <v>7151</v>
      </c>
      <c r="R9" s="146">
        <v>7247</v>
      </c>
      <c r="S9" s="305"/>
      <c r="T9" s="305"/>
      <c r="U9" s="305"/>
      <c r="V9" s="305"/>
      <c r="W9" s="305"/>
      <c r="X9" s="305"/>
      <c r="Y9" s="305"/>
      <c r="Z9" s="305"/>
      <c r="AA9" s="305"/>
      <c r="AB9" s="305"/>
    </row>
    <row r="10" spans="3:28" ht="12" customHeight="1">
      <c r="C10" s="214" t="s">
        <v>499</v>
      </c>
      <c r="D10" s="214" t="s">
        <v>500</v>
      </c>
      <c r="E10" s="215" t="s">
        <v>496</v>
      </c>
      <c r="F10" s="215" t="s">
        <v>498</v>
      </c>
      <c r="G10" s="221">
        <v>3935</v>
      </c>
      <c r="H10" s="221">
        <v>3977</v>
      </c>
      <c r="I10" s="221">
        <v>3916</v>
      </c>
      <c r="J10" s="221">
        <v>3954</v>
      </c>
      <c r="K10" s="221">
        <v>3993</v>
      </c>
      <c r="L10" s="221">
        <v>4050</v>
      </c>
      <c r="M10" s="221">
        <v>4103</v>
      </c>
      <c r="N10" s="221">
        <v>4459</v>
      </c>
      <c r="O10" s="221">
        <v>4490</v>
      </c>
      <c r="P10" s="221">
        <v>4535</v>
      </c>
      <c r="Q10" s="221">
        <v>4598</v>
      </c>
      <c r="R10" s="221">
        <v>4643</v>
      </c>
      <c r="S10" s="305"/>
      <c r="T10" s="305"/>
      <c r="U10" s="305"/>
      <c r="V10" s="305"/>
      <c r="W10" s="305"/>
      <c r="X10" s="305"/>
      <c r="Y10" s="305"/>
      <c r="Z10" s="305"/>
      <c r="AA10" s="305"/>
      <c r="AB10" s="305"/>
    </row>
    <row r="11" spans="3:28" ht="12" customHeight="1">
      <c r="C11" s="138" t="s">
        <v>475</v>
      </c>
      <c r="D11" s="138" t="s">
        <v>485</v>
      </c>
      <c r="E11" s="139" t="s">
        <v>476</v>
      </c>
      <c r="F11" s="139" t="s">
        <v>486</v>
      </c>
      <c r="G11" s="146">
        <v>792</v>
      </c>
      <c r="H11" s="146">
        <v>759</v>
      </c>
      <c r="I11" s="146">
        <v>752</v>
      </c>
      <c r="J11" s="146">
        <v>735</v>
      </c>
      <c r="K11" s="146">
        <v>720</v>
      </c>
      <c r="L11" s="146">
        <v>693</v>
      </c>
      <c r="M11" s="146">
        <v>673</v>
      </c>
      <c r="N11" s="146">
        <v>764</v>
      </c>
      <c r="O11" s="146">
        <v>723</v>
      </c>
      <c r="P11" s="146">
        <v>682</v>
      </c>
      <c r="Q11" s="146">
        <v>675</v>
      </c>
      <c r="R11" s="146">
        <v>665</v>
      </c>
      <c r="S11" s="305"/>
      <c r="T11" s="305"/>
      <c r="U11" s="305"/>
      <c r="V11" s="305"/>
      <c r="W11" s="305"/>
      <c r="X11" s="305"/>
      <c r="Y11" s="305"/>
      <c r="Z11" s="305"/>
      <c r="AA11" s="305"/>
      <c r="AB11" s="305"/>
    </row>
    <row r="12" spans="3:28" ht="12" customHeight="1">
      <c r="C12" s="138" t="s">
        <v>477</v>
      </c>
      <c r="D12" s="138" t="s">
        <v>487</v>
      </c>
      <c r="E12" s="139" t="s">
        <v>476</v>
      </c>
      <c r="F12" s="139" t="s">
        <v>486</v>
      </c>
      <c r="G12" s="146">
        <v>260</v>
      </c>
      <c r="H12" s="146">
        <v>265</v>
      </c>
      <c r="I12" s="146">
        <v>262</v>
      </c>
      <c r="J12" s="146">
        <v>262</v>
      </c>
      <c r="K12" s="146">
        <v>276</v>
      </c>
      <c r="L12" s="146">
        <v>281</v>
      </c>
      <c r="M12" s="146">
        <v>289</v>
      </c>
      <c r="N12" s="146">
        <v>293</v>
      </c>
      <c r="O12" s="146">
        <v>297</v>
      </c>
      <c r="P12" s="146">
        <v>306</v>
      </c>
      <c r="Q12" s="146">
        <v>310</v>
      </c>
      <c r="R12" s="146">
        <v>317</v>
      </c>
      <c r="S12" s="305"/>
      <c r="T12" s="305"/>
      <c r="U12" s="305"/>
      <c r="V12" s="305"/>
      <c r="W12" s="305"/>
      <c r="X12" s="305"/>
      <c r="Y12" s="305"/>
      <c r="Z12" s="305"/>
      <c r="AA12" s="305"/>
      <c r="AB12" s="305"/>
    </row>
    <row r="13" spans="3:28" ht="12" customHeight="1">
      <c r="C13" s="214" t="s">
        <v>492</v>
      </c>
      <c r="D13" s="214" t="s">
        <v>501</v>
      </c>
      <c r="E13" s="215" t="s">
        <v>493</v>
      </c>
      <c r="F13" s="215" t="s">
        <v>494</v>
      </c>
      <c r="G13" s="221">
        <v>1753</v>
      </c>
      <c r="H13" s="221">
        <v>1741</v>
      </c>
      <c r="I13" s="221">
        <v>1726</v>
      </c>
      <c r="J13" s="221">
        <v>1732</v>
      </c>
      <c r="K13" s="221">
        <v>1744</v>
      </c>
      <c r="L13" s="221">
        <v>1739</v>
      </c>
      <c r="M13" s="221">
        <v>1725</v>
      </c>
      <c r="N13" s="221">
        <v>1762</v>
      </c>
      <c r="O13" s="221">
        <v>1746</v>
      </c>
      <c r="P13" s="221">
        <v>1726</v>
      </c>
      <c r="Q13" s="221">
        <v>1716</v>
      </c>
      <c r="R13" s="221">
        <v>1700</v>
      </c>
      <c r="S13" s="305"/>
      <c r="T13" s="305"/>
      <c r="U13" s="305"/>
      <c r="V13" s="305"/>
      <c r="W13" s="305"/>
      <c r="X13" s="305"/>
      <c r="Y13" s="305"/>
      <c r="Z13" s="305"/>
      <c r="AA13" s="305"/>
      <c r="AB13" s="305"/>
    </row>
    <row r="14" spans="3:28" ht="12" customHeight="1">
      <c r="C14" s="216" t="s">
        <v>478</v>
      </c>
      <c r="D14" s="217" t="s">
        <v>488</v>
      </c>
      <c r="E14" s="218" t="s">
        <v>479</v>
      </c>
      <c r="F14" s="219" t="s">
        <v>489</v>
      </c>
      <c r="G14" s="222">
        <v>14699</v>
      </c>
      <c r="H14" s="222">
        <v>14558</v>
      </c>
      <c r="I14" s="222">
        <v>14473</v>
      </c>
      <c r="J14" s="222">
        <v>14383</v>
      </c>
      <c r="K14" s="222">
        <v>14330</v>
      </c>
      <c r="L14" s="222">
        <v>14286</v>
      </c>
      <c r="M14" s="222">
        <v>14030</v>
      </c>
      <c r="N14" s="222">
        <v>15347</v>
      </c>
      <c r="O14" s="222">
        <v>14642</v>
      </c>
      <c r="P14" s="221">
        <v>14058</v>
      </c>
      <c r="Q14" s="221">
        <v>13630</v>
      </c>
      <c r="R14" s="221">
        <v>13642</v>
      </c>
      <c r="S14" s="305"/>
      <c r="T14" s="305"/>
      <c r="U14" s="305"/>
      <c r="V14" s="305"/>
      <c r="W14" s="305"/>
      <c r="X14" s="305"/>
      <c r="Y14" s="305"/>
      <c r="Z14" s="305"/>
      <c r="AA14" s="305"/>
      <c r="AB14" s="305"/>
    </row>
    <row r="15" spans="3:28" ht="15.6" customHeight="1" thickBot="1">
      <c r="C15" s="136" t="s">
        <v>559</v>
      </c>
      <c r="D15" s="136" t="s">
        <v>560</v>
      </c>
      <c r="E15" s="136"/>
      <c r="F15" s="136"/>
      <c r="G15" s="223" t="s">
        <v>502</v>
      </c>
      <c r="H15" s="223" t="s">
        <v>166</v>
      </c>
      <c r="I15" s="223" t="s">
        <v>167</v>
      </c>
      <c r="J15" s="223" t="s">
        <v>491</v>
      </c>
      <c r="K15" s="223" t="s">
        <v>469</v>
      </c>
      <c r="L15" s="223" t="s">
        <v>170</v>
      </c>
      <c r="M15" s="223" t="s">
        <v>171</v>
      </c>
      <c r="N15" s="223" t="s">
        <v>490</v>
      </c>
      <c r="O15" s="223" t="s">
        <v>468</v>
      </c>
      <c r="P15" s="223" t="s">
        <v>606</v>
      </c>
      <c r="Q15" s="223" t="s">
        <v>636</v>
      </c>
      <c r="R15" s="223" t="s">
        <v>636</v>
      </c>
      <c r="S15" s="305"/>
      <c r="T15" s="305"/>
      <c r="U15" s="305"/>
      <c r="V15" s="305"/>
      <c r="W15" s="305"/>
      <c r="X15" s="305"/>
      <c r="Y15" s="305"/>
      <c r="Z15" s="305"/>
      <c r="AA15" s="305"/>
      <c r="AB15" s="305"/>
    </row>
    <row r="16" spans="3:28" ht="12.95" customHeight="1">
      <c r="C16" s="145" t="s">
        <v>592</v>
      </c>
      <c r="D16" s="145" t="s">
        <v>593</v>
      </c>
      <c r="E16" s="141" t="s">
        <v>561</v>
      </c>
      <c r="F16" s="141" t="s">
        <v>562</v>
      </c>
      <c r="G16" s="149">
        <v>14019968</v>
      </c>
      <c r="H16" s="149">
        <v>14869743</v>
      </c>
      <c r="I16" s="149">
        <v>15566830</v>
      </c>
      <c r="J16" s="149">
        <v>15996843</v>
      </c>
      <c r="K16" s="149">
        <v>16431222</v>
      </c>
      <c r="L16" s="149">
        <v>16329736</v>
      </c>
      <c r="M16" s="149">
        <v>16199060</v>
      </c>
      <c r="N16" s="149">
        <v>15057490</v>
      </c>
      <c r="O16" s="149">
        <v>15380567</v>
      </c>
      <c r="P16" s="149">
        <v>15840643</v>
      </c>
      <c r="Q16" s="149">
        <v>16319225</v>
      </c>
      <c r="R16" s="149">
        <v>16919956</v>
      </c>
      <c r="S16" s="305"/>
      <c r="T16" s="305"/>
      <c r="U16" s="305"/>
      <c r="V16" s="305"/>
      <c r="W16" s="305"/>
      <c r="X16" s="305"/>
      <c r="Y16" s="305"/>
      <c r="Z16" s="305"/>
      <c r="AA16" s="305"/>
      <c r="AB16" s="305"/>
    </row>
    <row r="17" spans="1:18" ht="12" customHeight="1">
      <c r="C17" s="144"/>
      <c r="D17" s="144"/>
      <c r="E17" s="144"/>
      <c r="F17" s="144"/>
      <c r="G17" s="225"/>
      <c r="H17" s="225"/>
      <c r="I17" s="225"/>
      <c r="J17" s="225"/>
      <c r="K17" s="225"/>
      <c r="L17" s="225"/>
      <c r="M17" s="225"/>
      <c r="N17" s="225"/>
      <c r="O17" s="225"/>
      <c r="P17" s="225"/>
      <c r="Q17" s="225"/>
      <c r="R17" s="225"/>
    </row>
    <row r="18" spans="1:18" ht="19.5">
      <c r="A18" s="245"/>
      <c r="B18" s="246" t="s">
        <v>583</v>
      </c>
      <c r="C18" s="248" t="s">
        <v>588</v>
      </c>
      <c r="D18" s="258" t="s">
        <v>589</v>
      </c>
      <c r="G18" s="224"/>
      <c r="H18" s="224"/>
      <c r="I18" s="224"/>
      <c r="J18" s="224"/>
      <c r="K18" s="224"/>
      <c r="L18" s="224"/>
      <c r="M18" s="224"/>
      <c r="N18" s="224"/>
      <c r="O18" s="224"/>
    </row>
    <row r="19" spans="1:18" ht="29.25">
      <c r="A19" s="245"/>
      <c r="B19" s="247" t="s">
        <v>582</v>
      </c>
      <c r="C19" s="248" t="s">
        <v>590</v>
      </c>
      <c r="D19" s="258" t="s">
        <v>591</v>
      </c>
      <c r="G19" s="224"/>
      <c r="H19" s="224"/>
      <c r="I19" s="224"/>
      <c r="J19" s="224"/>
      <c r="K19" s="224"/>
      <c r="L19" s="224"/>
      <c r="M19" s="224"/>
      <c r="N19" s="224"/>
      <c r="O19" s="224"/>
    </row>
    <row r="20" spans="1:18" ht="19.5">
      <c r="B20" s="247" t="s">
        <v>455</v>
      </c>
      <c r="C20" s="248" t="s">
        <v>594</v>
      </c>
      <c r="D20" s="258" t="s">
        <v>595</v>
      </c>
      <c r="G20" s="224"/>
      <c r="H20" s="224"/>
      <c r="I20" s="224"/>
      <c r="J20" s="224"/>
      <c r="K20" s="224"/>
      <c r="L20" s="224"/>
      <c r="M20" s="224"/>
      <c r="N20" s="224"/>
      <c r="O20" s="224"/>
    </row>
    <row r="21" spans="1:18" ht="12" customHeight="1">
      <c r="H21" s="147"/>
      <c r="K21" s="147"/>
      <c r="L21" s="147"/>
      <c r="N21" s="147"/>
      <c r="O21" s="147"/>
      <c r="P21" s="147"/>
      <c r="Q21" s="147"/>
      <c r="R21" s="147"/>
    </row>
    <row r="22" spans="1:18" ht="12" customHeight="1">
      <c r="C22" s="138"/>
      <c r="D22" s="138"/>
      <c r="E22" s="139"/>
      <c r="F22" s="139"/>
      <c r="G22" s="146"/>
      <c r="H22" s="146"/>
      <c r="I22" s="146"/>
      <c r="J22" s="146"/>
      <c r="K22" s="146"/>
      <c r="L22" s="146"/>
      <c r="M22" s="146"/>
      <c r="N22" s="146"/>
      <c r="O22" s="146"/>
      <c r="P22" s="146"/>
      <c r="Q22" s="146"/>
      <c r="R22" s="146"/>
    </row>
  </sheetData>
  <customSheetViews>
    <customSheetView guid="{25FAB884-5E17-4008-8139-33D910C7DEFE}" fitToPage="1">
      <selection activeCell="P14" sqref="P14"/>
      <pageMargins left="0.7" right="0.7" top="0.75" bottom="0.75" header="0.3" footer="0.3"/>
      <pageSetup paperSize="9" scale="37" fitToHeight="0" orientation="landscape" r:id="rId1"/>
    </customSheetView>
    <customSheetView guid="{8DA78CF1-615A-4626-9893-6751995631A4}" showGridLines="0" fitToPage="1" topLeftCell="E1">
      <selection activeCell="M20" sqref="M20"/>
      <pageMargins left="0.7" right="0.7" top="0.75" bottom="0.75" header="0.3" footer="0.3"/>
      <pageSetup paperSize="9" scale="37" fitToHeight="0" orientation="landscape" r:id="rId2"/>
    </customSheetView>
    <customSheetView guid="{687A4863-1825-4D63-B732-E76682E6DE4F}" showGridLines="0" fitToPage="1" topLeftCell="C1">
      <selection activeCell="H28" sqref="H28"/>
      <pageMargins left="0.7" right="0.7" top="0.75" bottom="0.75" header="0.3" footer="0.3"/>
      <pageSetup paperSize="9" scale="37" fitToHeight="0" orientation="landscape" r:id="rId3"/>
    </customSheetView>
    <customSheetView guid="{899D69CD-4B7E-42BC-9944-5BD922EB798C}" fitToPage="1">
      <selection activeCell="P14" sqref="P14"/>
      <pageMargins left="0.7" right="0.7" top="0.75" bottom="0.75" header="0.3" footer="0.3"/>
      <pageSetup paperSize="9" scale="37" fitToHeight="0" orientation="landscape" r:id="rId4"/>
    </customSheetView>
    <customSheetView guid="{9AF4A83C-CF57-4B40-8A74-6A0EA6C2FE5C}" showGridLines="0" fitToPage="1" topLeftCell="D1">
      <selection activeCell="L27" sqref="L27"/>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12F8D032-8143-430B-8DFF-852E8796C402}" showGridLines="0" fitToPage="1" topLeftCell="B1">
      <selection activeCell="D20" sqref="D20"/>
      <pageMargins left="0.7" right="0.7" top="0.75" bottom="0.75" header="0.3" footer="0.3"/>
      <pageSetup paperSize="9" scale="37" fitToHeight="0" orientation="landscape" r:id="rId7"/>
    </customSheetView>
  </customSheetViews>
  <pageMargins left="0.7" right="0.7" top="0.75" bottom="0.75" header="0.3" footer="0.3"/>
  <pageSetup paperSize="9" scale="37" fitToHeight="0" orientation="landscape"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26"/>
  <sheetViews>
    <sheetView workbookViewId="0">
      <selection activeCell="D30" sqref="D30"/>
    </sheetView>
  </sheetViews>
  <sheetFormatPr defaultRowHeight="15"/>
  <cols>
    <col min="1" max="1" width="56.28515625" bestFit="1" customWidth="1"/>
    <col min="2" max="2" width="55" bestFit="1" customWidth="1"/>
    <col min="3" max="5" width="10.7109375" bestFit="1" customWidth="1"/>
    <col min="6" max="6" width="10.7109375" style="3" bestFit="1" customWidth="1"/>
    <col min="7" max="7" width="11" customWidth="1"/>
  </cols>
  <sheetData>
    <row r="2" spans="1:7" s="90" customFormat="1" ht="15.75" thickBot="1">
      <c r="A2" s="44" t="s">
        <v>563</v>
      </c>
      <c r="B2" s="44" t="s">
        <v>564</v>
      </c>
      <c r="C2" s="52" t="s">
        <v>172</v>
      </c>
      <c r="D2" s="52" t="s">
        <v>608</v>
      </c>
      <c r="E2" s="54" t="s">
        <v>609</v>
      </c>
      <c r="F2" s="54" t="s">
        <v>634</v>
      </c>
      <c r="G2" s="54" t="s">
        <v>673</v>
      </c>
    </row>
    <row r="3" spans="1:7" s="90" customFormat="1">
      <c r="A3" s="226" t="s">
        <v>565</v>
      </c>
      <c r="B3" s="226" t="s">
        <v>503</v>
      </c>
      <c r="C3" s="227"/>
      <c r="D3" s="227"/>
      <c r="E3" s="227"/>
      <c r="F3" s="227"/>
      <c r="G3" s="227"/>
    </row>
    <row r="4" spans="1:7" s="90" customFormat="1">
      <c r="A4" s="228" t="s">
        <v>566</v>
      </c>
      <c r="B4" s="228" t="s">
        <v>178</v>
      </c>
      <c r="C4" s="229">
        <v>127863304</v>
      </c>
      <c r="D4" s="229">
        <v>128673847</v>
      </c>
      <c r="E4" s="229">
        <v>130272454</v>
      </c>
      <c r="F4" s="229">
        <v>132561589</v>
      </c>
      <c r="G4" s="229">
        <v>132377036</v>
      </c>
    </row>
    <row r="5" spans="1:7" s="90" customFormat="1">
      <c r="A5" s="230" t="s">
        <v>567</v>
      </c>
      <c r="B5" s="230" t="s">
        <v>580</v>
      </c>
      <c r="C5" s="231">
        <v>-564638</v>
      </c>
      <c r="D5" s="231">
        <v>-557472</v>
      </c>
      <c r="E5" s="231">
        <v>-552330</v>
      </c>
      <c r="F5" s="231">
        <v>-574167</v>
      </c>
      <c r="G5" s="231">
        <v>-571396</v>
      </c>
    </row>
    <row r="6" spans="1:7" s="90" customFormat="1">
      <c r="A6" s="232" t="s">
        <v>332</v>
      </c>
      <c r="B6" s="232" t="s">
        <v>326</v>
      </c>
      <c r="C6" s="233"/>
      <c r="D6" s="233"/>
      <c r="E6" s="233"/>
      <c r="F6" s="233"/>
      <c r="G6" s="233"/>
    </row>
    <row r="7" spans="1:7" s="90" customFormat="1">
      <c r="A7" s="228" t="s">
        <v>566</v>
      </c>
      <c r="B7" s="228" t="s">
        <v>178</v>
      </c>
      <c r="C7" s="229">
        <v>5696092</v>
      </c>
      <c r="D7" s="229">
        <v>6093723</v>
      </c>
      <c r="E7" s="229">
        <v>6783875</v>
      </c>
      <c r="F7" s="229">
        <v>6863173</v>
      </c>
      <c r="G7" s="229">
        <v>6546106</v>
      </c>
    </row>
    <row r="8" spans="1:7" s="90" customFormat="1">
      <c r="A8" s="230" t="s">
        <v>567</v>
      </c>
      <c r="B8" s="230" t="s">
        <v>580</v>
      </c>
      <c r="C8" s="231">
        <v>-530276</v>
      </c>
      <c r="D8" s="231">
        <v>-552727</v>
      </c>
      <c r="E8" s="231">
        <v>-615669</v>
      </c>
      <c r="F8" s="231">
        <v>-639951</v>
      </c>
      <c r="G8" s="231">
        <v>-582541</v>
      </c>
    </row>
    <row r="9" spans="1:7" s="90" customFormat="1">
      <c r="A9" s="232" t="s">
        <v>333</v>
      </c>
      <c r="B9" s="232" t="s">
        <v>327</v>
      </c>
      <c r="C9" s="233"/>
      <c r="D9" s="233"/>
      <c r="E9" s="233"/>
      <c r="F9" s="233"/>
      <c r="G9" s="233"/>
    </row>
    <row r="10" spans="1:7" s="90" customFormat="1">
      <c r="A10" s="228" t="s">
        <v>566</v>
      </c>
      <c r="B10" s="228" t="s">
        <v>178</v>
      </c>
      <c r="C10" s="229">
        <v>5703661</v>
      </c>
      <c r="D10" s="229">
        <v>6091077</v>
      </c>
      <c r="E10" s="229">
        <v>6095285</v>
      </c>
      <c r="F10" s="229">
        <v>6539299</v>
      </c>
      <c r="G10" s="229">
        <v>6834385</v>
      </c>
    </row>
    <row r="11" spans="1:7" s="90" customFormat="1">
      <c r="A11" s="230" t="s">
        <v>567</v>
      </c>
      <c r="B11" s="230" t="s">
        <v>580</v>
      </c>
      <c r="C11" s="231">
        <v>-3236293</v>
      </c>
      <c r="D11" s="231">
        <v>-3480014</v>
      </c>
      <c r="E11" s="231">
        <v>-3562717</v>
      </c>
      <c r="F11" s="231">
        <v>-3751732</v>
      </c>
      <c r="G11" s="231">
        <v>-3886229</v>
      </c>
    </row>
    <row r="12" spans="1:7" s="90" customFormat="1">
      <c r="A12" s="232" t="s">
        <v>495</v>
      </c>
      <c r="B12" s="232" t="s">
        <v>495</v>
      </c>
      <c r="C12" s="233"/>
      <c r="D12" s="233"/>
      <c r="E12" s="233"/>
      <c r="F12" s="233"/>
      <c r="G12" s="233"/>
    </row>
    <row r="13" spans="1:7" s="90" customFormat="1">
      <c r="A13" s="228" t="s">
        <v>566</v>
      </c>
      <c r="B13" s="228" t="s">
        <v>178</v>
      </c>
      <c r="C13" s="229">
        <v>764562</v>
      </c>
      <c r="D13" s="229">
        <v>738455</v>
      </c>
      <c r="E13" s="229">
        <v>720352</v>
      </c>
      <c r="F13" s="229">
        <v>768655</v>
      </c>
      <c r="G13" s="229">
        <v>769208</v>
      </c>
    </row>
    <row r="14" spans="1:7" s="90" customFormat="1" ht="15.75" thickBot="1">
      <c r="A14" s="234" t="s">
        <v>567</v>
      </c>
      <c r="B14" s="234" t="s">
        <v>580</v>
      </c>
      <c r="C14" s="235">
        <v>-53115</v>
      </c>
      <c r="D14" s="235">
        <v>-74297</v>
      </c>
      <c r="E14" s="235">
        <v>-89355</v>
      </c>
      <c r="F14" s="235">
        <v>-151498</v>
      </c>
      <c r="G14" s="235">
        <v>-204198</v>
      </c>
    </row>
    <row r="15" spans="1:7" s="90" customFormat="1">
      <c r="A15" s="236" t="s">
        <v>568</v>
      </c>
      <c r="B15" s="236" t="s">
        <v>569</v>
      </c>
      <c r="C15" s="237">
        <v>140027619</v>
      </c>
      <c r="D15" s="237">
        <v>141597102</v>
      </c>
      <c r="E15" s="237">
        <v>143871966</v>
      </c>
      <c r="F15" s="237">
        <f>F13+F10+F7+F4</f>
        <v>146732716</v>
      </c>
      <c r="G15" s="237">
        <f>G13+G10+G7+G4</f>
        <v>146526735</v>
      </c>
    </row>
    <row r="16" spans="1:7" s="90" customFormat="1">
      <c r="A16" s="238" t="s">
        <v>567</v>
      </c>
      <c r="B16" s="239" t="s">
        <v>581</v>
      </c>
      <c r="C16" s="240">
        <v>-4384322</v>
      </c>
      <c r="D16" s="240">
        <v>-4664510</v>
      </c>
      <c r="E16" s="240">
        <v>-4820071</v>
      </c>
      <c r="F16" s="240">
        <f>F14+F11+F8+F5</f>
        <v>-5117348</v>
      </c>
      <c r="G16" s="240">
        <f>G14+G11+G8+G5</f>
        <v>-5244364</v>
      </c>
    </row>
    <row r="17" spans="1:7" s="90" customFormat="1" ht="18" customHeight="1" thickBot="1">
      <c r="A17" s="241" t="s">
        <v>570</v>
      </c>
      <c r="B17" s="242" t="s">
        <v>571</v>
      </c>
      <c r="C17" s="243">
        <v>135643297</v>
      </c>
      <c r="D17" s="243">
        <v>136932592</v>
      </c>
      <c r="E17" s="243">
        <v>139051895</v>
      </c>
      <c r="F17" s="243">
        <f>SUM(F15:F16)</f>
        <v>141615368</v>
      </c>
      <c r="G17" s="243">
        <f>SUM(G15:G16)</f>
        <v>141282371</v>
      </c>
    </row>
    <row r="22" spans="1:7">
      <c r="C22" s="3"/>
    </row>
    <row r="23" spans="1:7">
      <c r="C23" s="3"/>
    </row>
    <row r="24" spans="1:7">
      <c r="C24" s="3"/>
    </row>
    <row r="25" spans="1:7">
      <c r="C25" s="3"/>
    </row>
    <row r="26" spans="1:7">
      <c r="C26" s="3"/>
    </row>
  </sheetData>
  <customSheetViews>
    <customSheetView guid="{25FAB884-5E17-4008-8139-33D910C7DEFE}" fitToPage="1">
      <selection activeCell="G33" sqref="G33"/>
      <pageMargins left="0.7" right="0.7" top="0.75" bottom="0.75" header="0.3" footer="0.3"/>
      <pageSetup paperSize="9" scale="85" fitToHeight="0" orientation="landscape" r:id="rId1"/>
    </customSheetView>
    <customSheetView guid="{8DA78CF1-615A-4626-9893-6751995631A4}" showGridLines="0">
      <selection activeCell="A20" sqref="A20"/>
      <pageMargins left="0.7" right="0.7" top="0.75" bottom="0.75" header="0.3" footer="0.3"/>
    </customSheetView>
    <customSheetView guid="{687A4863-1825-4D63-B732-E76682E6DE4F}" showGridLines="0">
      <selection activeCell="B25" sqref="B25"/>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9AF4A83C-CF57-4B40-8A74-6A0EA6C2FE5C}" showGridLines="0">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12F8D032-8143-430B-8DFF-852E8796C402}" showGridLines="0">
      <selection activeCell="B24" sqref="B24"/>
      <pageMargins left="0.7" right="0.7" top="0.75" bottom="0.75" header="0.3" footer="0.3"/>
    </customSheetView>
  </customSheetViews>
  <pageMargins left="0.7" right="0.7" top="0.75" bottom="0.75" header="0.3" footer="0.3"/>
  <pageSetup paperSize="9" scale="85"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A31" zoomScaleNormal="100" zoomScaleSheetLayoutView="90" workbookViewId="0">
      <selection activeCell="B21" sqref="B21"/>
    </sheetView>
  </sheetViews>
  <sheetFormatPr defaultColWidth="9.85546875" defaultRowHeight="14.25"/>
  <cols>
    <col min="1" max="1" width="5.28515625" style="6" customWidth="1"/>
    <col min="2" max="2" width="57.42578125" style="6" customWidth="1"/>
    <col min="3" max="3" width="52.42578125" style="6" customWidth="1"/>
    <col min="4" max="16" width="13.42578125" style="6" customWidth="1"/>
    <col min="17" max="17" width="12.28515625" style="6" customWidth="1"/>
    <col min="18" max="16384" width="9.85546875" style="6"/>
  </cols>
  <sheetData>
    <row r="1" spans="2:16" s="21" customFormat="1" ht="32.25" customHeight="1" thickBot="1">
      <c r="B1" s="4" t="s">
        <v>337</v>
      </c>
      <c r="C1" s="4" t="s">
        <v>316</v>
      </c>
      <c r="D1" s="267" t="s">
        <v>165</v>
      </c>
      <c r="E1" s="267" t="s">
        <v>166</v>
      </c>
      <c r="F1" s="267" t="s">
        <v>167</v>
      </c>
      <c r="G1" s="267" t="s">
        <v>168</v>
      </c>
      <c r="H1" s="342">
        <v>43101</v>
      </c>
      <c r="I1" s="267" t="s">
        <v>169</v>
      </c>
      <c r="J1" s="267" t="s">
        <v>170</v>
      </c>
      <c r="K1" s="267" t="s">
        <v>171</v>
      </c>
      <c r="L1" s="268">
        <v>43465</v>
      </c>
      <c r="M1" s="291">
        <v>43555</v>
      </c>
      <c r="N1" s="268">
        <v>43646</v>
      </c>
      <c r="O1" s="268">
        <v>43738</v>
      </c>
      <c r="P1" s="268">
        <v>43830</v>
      </c>
    </row>
    <row r="2" spans="2:16" ht="15" customHeight="1">
      <c r="B2" s="22" t="s">
        <v>61</v>
      </c>
      <c r="C2" s="22" t="s">
        <v>16</v>
      </c>
    </row>
    <row r="3" spans="2:16"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row>
    <row r="4" spans="2:16"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row>
    <row r="5" spans="2:16" ht="15"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row>
    <row r="6" spans="2:16"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row>
    <row r="7" spans="2:16"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row>
    <row r="8" spans="2:16" ht="15" customHeight="1">
      <c r="B8" s="8" t="s">
        <v>147</v>
      </c>
      <c r="C8" s="8" t="s">
        <v>148</v>
      </c>
      <c r="D8" s="9">
        <v>0</v>
      </c>
      <c r="E8" s="9">
        <v>0</v>
      </c>
      <c r="F8" s="9">
        <v>0</v>
      </c>
      <c r="G8" s="9">
        <v>0</v>
      </c>
      <c r="H8" s="9">
        <v>0</v>
      </c>
      <c r="I8" s="9">
        <v>0</v>
      </c>
      <c r="J8" s="9">
        <v>0</v>
      </c>
      <c r="K8" s="9"/>
      <c r="L8" s="9">
        <v>366751</v>
      </c>
      <c r="M8" s="9">
        <v>392279</v>
      </c>
      <c r="N8" s="9">
        <v>419535</v>
      </c>
      <c r="O8" s="9">
        <v>984048</v>
      </c>
      <c r="P8" s="9">
        <v>923811</v>
      </c>
    </row>
    <row r="9" spans="2:16"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row>
    <row r="10" spans="2:16"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row>
    <row r="11" spans="2:16"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row>
    <row r="12" spans="2:16"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row>
    <row r="13" spans="2:16" ht="1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row>
    <row r="14" spans="2:16" ht="15"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row>
    <row r="15" spans="2:16" ht="15"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row>
    <row r="16" spans="2:16" ht="15" customHeight="1">
      <c r="B16" s="8" t="s">
        <v>640</v>
      </c>
      <c r="C16" s="8" t="s">
        <v>641</v>
      </c>
      <c r="D16" s="9">
        <v>1551683</v>
      </c>
      <c r="E16" s="9">
        <v>3255921</v>
      </c>
      <c r="F16" s="9">
        <v>1970708</v>
      </c>
      <c r="G16" s="9">
        <v>2385727</v>
      </c>
      <c r="H16" s="9">
        <v>2385727</v>
      </c>
      <c r="I16" s="9">
        <v>2607112</v>
      </c>
      <c r="J16" s="9">
        <v>1638155</v>
      </c>
      <c r="K16" s="9">
        <v>2746983</v>
      </c>
      <c r="L16" s="9">
        <v>1708744</v>
      </c>
      <c r="M16" s="9">
        <v>1601898</v>
      </c>
      <c r="N16" s="9">
        <v>1216615</v>
      </c>
      <c r="O16" s="9">
        <v>1167517</v>
      </c>
      <c r="P16" s="9">
        <v>1089558</v>
      </c>
    </row>
    <row r="17" spans="2:16" ht="15" customHeight="1">
      <c r="B17" s="8" t="s">
        <v>143</v>
      </c>
      <c r="C17" s="8" t="s">
        <v>144</v>
      </c>
      <c r="D17" s="9">
        <v>880163</v>
      </c>
      <c r="E17" s="9">
        <v>853327</v>
      </c>
      <c r="F17" s="9">
        <v>868482</v>
      </c>
      <c r="G17" s="9">
        <v>889372</v>
      </c>
      <c r="H17" s="9">
        <v>889372</v>
      </c>
      <c r="I17" s="9">
        <v>901864</v>
      </c>
      <c r="J17" s="9">
        <v>855457</v>
      </c>
      <c r="K17" s="9">
        <v>871776</v>
      </c>
      <c r="L17" s="9">
        <v>891952</v>
      </c>
      <c r="M17" s="9">
        <v>906884</v>
      </c>
      <c r="N17" s="9">
        <v>865227</v>
      </c>
      <c r="O17" s="9">
        <v>885208</v>
      </c>
      <c r="P17" s="9">
        <v>903113</v>
      </c>
    </row>
    <row r="18" spans="2:16" ht="15" customHeight="1">
      <c r="B18" s="8" t="s">
        <v>64</v>
      </c>
      <c r="C18" s="8" t="s">
        <v>20</v>
      </c>
      <c r="D18" s="9">
        <v>452759</v>
      </c>
      <c r="E18" s="9">
        <v>436761</v>
      </c>
      <c r="F18" s="9">
        <v>430607</v>
      </c>
      <c r="G18" s="9">
        <v>490327</v>
      </c>
      <c r="H18" s="9">
        <v>490327</v>
      </c>
      <c r="I18" s="9">
        <v>486567</v>
      </c>
      <c r="J18" s="9">
        <v>495572</v>
      </c>
      <c r="K18" s="9">
        <v>526149</v>
      </c>
      <c r="L18" s="9">
        <v>819409</v>
      </c>
      <c r="M18" s="9">
        <v>773264</v>
      </c>
      <c r="N18" s="9">
        <v>742302</v>
      </c>
      <c r="O18" s="9">
        <v>734570</v>
      </c>
      <c r="P18" s="9">
        <v>772117</v>
      </c>
    </row>
    <row r="19" spans="2:16" ht="15" customHeight="1">
      <c r="B19" s="8" t="s">
        <v>65</v>
      </c>
      <c r="C19" s="8" t="s">
        <v>46</v>
      </c>
      <c r="D19" s="9">
        <v>1688516</v>
      </c>
      <c r="E19" s="9">
        <v>1688516</v>
      </c>
      <c r="F19" s="9">
        <v>1712056</v>
      </c>
      <c r="G19" s="9">
        <v>1712056</v>
      </c>
      <c r="H19" s="9">
        <v>1712056</v>
      </c>
      <c r="I19" s="9">
        <v>1712056</v>
      </c>
      <c r="J19" s="9">
        <v>1712056</v>
      </c>
      <c r="K19" s="9">
        <v>1712056</v>
      </c>
      <c r="L19" s="9">
        <v>1712056</v>
      </c>
      <c r="M19" s="9">
        <v>1712056</v>
      </c>
      <c r="N19" s="9">
        <v>1712056</v>
      </c>
      <c r="O19" s="9">
        <v>1712056</v>
      </c>
      <c r="P19" s="9">
        <v>1712056</v>
      </c>
    </row>
    <row r="20" spans="2:16" ht="15" customHeight="1">
      <c r="B20" s="8" t="s">
        <v>66</v>
      </c>
      <c r="C20" s="8" t="s">
        <v>21</v>
      </c>
      <c r="D20" s="9">
        <v>858934</v>
      </c>
      <c r="E20" s="9">
        <v>858046</v>
      </c>
      <c r="F20" s="9">
        <v>857240</v>
      </c>
      <c r="G20" s="9">
        <v>930717</v>
      </c>
      <c r="H20" s="9">
        <v>930717</v>
      </c>
      <c r="I20" s="9">
        <v>898332</v>
      </c>
      <c r="J20" s="9">
        <v>900490</v>
      </c>
      <c r="K20" s="9">
        <v>918828</v>
      </c>
      <c r="L20" s="9">
        <v>986384</v>
      </c>
      <c r="M20" s="9">
        <v>752271</v>
      </c>
      <c r="N20" s="9">
        <v>748294</v>
      </c>
      <c r="O20" s="9">
        <v>744992</v>
      </c>
      <c r="P20" s="9">
        <v>874078</v>
      </c>
    </row>
    <row r="21" spans="2:16" ht="15" customHeight="1">
      <c r="B21" s="8" t="s">
        <v>156</v>
      </c>
      <c r="C21" s="8" t="s">
        <v>157</v>
      </c>
      <c r="D21" s="9">
        <v>0</v>
      </c>
      <c r="E21" s="9">
        <v>0</v>
      </c>
      <c r="F21" s="9">
        <v>0</v>
      </c>
      <c r="G21" s="9">
        <v>0</v>
      </c>
      <c r="H21" s="9">
        <v>0</v>
      </c>
      <c r="I21" s="9">
        <v>0</v>
      </c>
      <c r="J21" s="9">
        <v>0</v>
      </c>
      <c r="K21" s="9">
        <v>0</v>
      </c>
      <c r="L21" s="9">
        <v>0</v>
      </c>
      <c r="M21" s="9">
        <v>984553</v>
      </c>
      <c r="N21" s="9">
        <v>922098</v>
      </c>
      <c r="O21" s="9">
        <v>894006</v>
      </c>
      <c r="P21" s="9">
        <v>838792</v>
      </c>
    </row>
    <row r="22" spans="2:16" ht="15" customHeight="1">
      <c r="B22" s="8" t="s">
        <v>67</v>
      </c>
      <c r="C22" s="8" t="s">
        <v>22</v>
      </c>
      <c r="D22" s="9">
        <v>24228</v>
      </c>
      <c r="E22" s="9">
        <v>0</v>
      </c>
      <c r="F22" s="9">
        <v>0</v>
      </c>
      <c r="G22" s="9">
        <v>0</v>
      </c>
      <c r="H22" s="9">
        <v>0</v>
      </c>
      <c r="I22" s="9">
        <v>0</v>
      </c>
      <c r="J22" s="9">
        <v>0</v>
      </c>
      <c r="K22" s="9">
        <v>0</v>
      </c>
      <c r="L22" s="9">
        <v>0</v>
      </c>
      <c r="M22" s="9">
        <v>0</v>
      </c>
      <c r="N22" s="9">
        <v>0</v>
      </c>
      <c r="O22" s="9">
        <v>0</v>
      </c>
      <c r="P22" s="9">
        <v>0</v>
      </c>
    </row>
    <row r="23" spans="2:16" ht="15" customHeight="1">
      <c r="B23" s="8" t="s">
        <v>68</v>
      </c>
      <c r="C23" s="8" t="s">
        <v>23</v>
      </c>
      <c r="D23" s="9">
        <v>1383737</v>
      </c>
      <c r="E23" s="9">
        <v>1425284</v>
      </c>
      <c r="F23" s="9">
        <v>1430858</v>
      </c>
      <c r="G23" s="9">
        <v>1414227</v>
      </c>
      <c r="H23" s="9">
        <v>1473247</v>
      </c>
      <c r="I23" s="9">
        <v>1445532</v>
      </c>
      <c r="J23" s="9">
        <v>1534620</v>
      </c>
      <c r="K23" s="9">
        <v>1577736</v>
      </c>
      <c r="L23" s="9">
        <v>1760121</v>
      </c>
      <c r="M23" s="9">
        <v>1750550</v>
      </c>
      <c r="N23" s="9">
        <v>1776340</v>
      </c>
      <c r="O23" s="9">
        <v>1879861</v>
      </c>
      <c r="P23" s="9">
        <v>1847916</v>
      </c>
    </row>
    <row r="24" spans="2:16" ht="15" customHeight="1">
      <c r="B24" s="8" t="s">
        <v>69</v>
      </c>
      <c r="C24" s="8" t="s">
        <v>48</v>
      </c>
      <c r="D24" s="9">
        <v>637</v>
      </c>
      <c r="E24" s="9">
        <v>608</v>
      </c>
      <c r="F24" s="9">
        <v>733</v>
      </c>
      <c r="G24" s="9">
        <v>103</v>
      </c>
      <c r="H24" s="9">
        <v>103</v>
      </c>
      <c r="I24" s="9">
        <v>15261</v>
      </c>
      <c r="J24" s="9">
        <v>12860</v>
      </c>
      <c r="K24" s="9">
        <v>13985</v>
      </c>
      <c r="L24" s="9">
        <v>12145</v>
      </c>
      <c r="M24" s="9">
        <v>10993</v>
      </c>
      <c r="N24" s="9">
        <v>11044</v>
      </c>
      <c r="O24" s="9">
        <v>11120</v>
      </c>
      <c r="P24" s="9">
        <v>2679</v>
      </c>
    </row>
    <row r="25" spans="2:16" ht="15" customHeight="1">
      <c r="B25" s="8" t="s">
        <v>70</v>
      </c>
      <c r="C25" s="8" t="s">
        <v>24</v>
      </c>
      <c r="D25" s="9">
        <v>951249</v>
      </c>
      <c r="E25" s="9">
        <v>1007263</v>
      </c>
      <c r="F25" s="9">
        <v>1290943</v>
      </c>
      <c r="G25" s="9">
        <v>1065068</v>
      </c>
      <c r="H25" s="9">
        <v>1065068</v>
      </c>
      <c r="I25" s="9">
        <v>1039282</v>
      </c>
      <c r="J25" s="9">
        <v>1338337</v>
      </c>
      <c r="K25" s="9">
        <v>1189769</v>
      </c>
      <c r="L25" s="9">
        <v>1166995</v>
      </c>
      <c r="M25" s="9">
        <v>1152820</v>
      </c>
      <c r="N25" s="9">
        <v>1085831</v>
      </c>
      <c r="O25" s="9">
        <v>1157007</v>
      </c>
      <c r="P25" s="9">
        <v>1061846</v>
      </c>
    </row>
    <row r="26" spans="2:16" ht="15" customHeight="1">
      <c r="B26" s="23" t="s">
        <v>71</v>
      </c>
      <c r="C26" s="23" t="s">
        <v>25</v>
      </c>
      <c r="D26" s="24">
        <f>SUM(D3:D25)</f>
        <v>147038306</v>
      </c>
      <c r="E26" s="24">
        <f>SUM(E3:E25)</f>
        <v>150005625</v>
      </c>
      <c r="F26" s="24">
        <f>SUM(F3:F25)</f>
        <v>152027395</v>
      </c>
      <c r="G26" s="24">
        <f>SUM(G3:G25)</f>
        <v>157194589</v>
      </c>
      <c r="H26" s="24">
        <f>H3+H4+H5+H6+H10+H12+H16+H17+H18+H19+H20+H21+H22+H23+H24+H25</f>
        <v>156955344</v>
      </c>
      <c r="I26" s="24">
        <f t="shared" ref="I26:P26" si="0">I3+I4+I5+I6+I10+I12+I16+I17+I18+I19+I20+I21+I22+I23+I24+I25</f>
        <v>159841934</v>
      </c>
      <c r="J26" s="24">
        <f t="shared" si="0"/>
        <v>171840340</v>
      </c>
      <c r="K26" s="24">
        <f t="shared" si="0"/>
        <v>179895530</v>
      </c>
      <c r="L26" s="24">
        <f t="shared" si="0"/>
        <v>206656303</v>
      </c>
      <c r="M26" s="24">
        <f t="shared" si="0"/>
        <v>209028511</v>
      </c>
      <c r="N26" s="24">
        <f t="shared" si="0"/>
        <v>205901246</v>
      </c>
      <c r="O26" s="24">
        <f t="shared" si="0"/>
        <v>204072985</v>
      </c>
      <c r="P26" s="24">
        <f t="shared" si="0"/>
        <v>209476166</v>
      </c>
    </row>
    <row r="27" spans="2:16" ht="15" customHeight="1">
      <c r="B27" s="25" t="s">
        <v>72</v>
      </c>
      <c r="C27" s="25" t="s">
        <v>26</v>
      </c>
      <c r="D27" s="9"/>
      <c r="E27" s="9"/>
      <c r="F27" s="9"/>
      <c r="G27" s="9"/>
      <c r="H27" s="9"/>
      <c r="I27" s="9"/>
      <c r="J27" s="9"/>
      <c r="K27" s="9"/>
      <c r="L27" s="9"/>
      <c r="M27" s="9"/>
      <c r="N27" s="9"/>
      <c r="O27" s="9"/>
      <c r="P27" s="9"/>
    </row>
    <row r="28" spans="2:16" ht="15" customHeight="1">
      <c r="B28" s="8" t="s">
        <v>73</v>
      </c>
      <c r="C28" s="8" t="s">
        <v>27</v>
      </c>
      <c r="D28" s="9">
        <v>2635608</v>
      </c>
      <c r="E28" s="9">
        <v>2591607</v>
      </c>
      <c r="F28" s="9">
        <v>2730481</v>
      </c>
      <c r="G28" s="9">
        <v>2783083</v>
      </c>
      <c r="H28" s="9">
        <v>2783083</v>
      </c>
      <c r="I28" s="9">
        <v>3838090</v>
      </c>
      <c r="J28" s="9">
        <v>3252586</v>
      </c>
      <c r="K28" s="9">
        <v>3646033</v>
      </c>
      <c r="L28" s="9">
        <v>2832928</v>
      </c>
      <c r="M28" s="9">
        <v>2999969</v>
      </c>
      <c r="N28" s="9">
        <v>3456334</v>
      </c>
      <c r="O28" s="9">
        <v>3997194</v>
      </c>
      <c r="P28" s="9">
        <v>5031744</v>
      </c>
    </row>
    <row r="29" spans="2:16" ht="15" customHeight="1">
      <c r="B29" s="8" t="s">
        <v>336</v>
      </c>
      <c r="C29" s="8" t="s">
        <v>28</v>
      </c>
      <c r="D29" s="9">
        <v>3707502</v>
      </c>
      <c r="E29" s="9">
        <v>2870863</v>
      </c>
      <c r="F29" s="9">
        <v>2855030</v>
      </c>
      <c r="G29" s="9">
        <v>2047397</v>
      </c>
      <c r="H29" s="9">
        <v>2047397</v>
      </c>
      <c r="I29" s="9">
        <v>2219765</v>
      </c>
      <c r="J29" s="9">
        <v>2250847</v>
      </c>
      <c r="K29" s="9">
        <v>2415070</v>
      </c>
      <c r="L29" s="9">
        <v>2393883</v>
      </c>
      <c r="M29" s="9">
        <v>2799501</v>
      </c>
      <c r="N29" s="9">
        <v>2679022</v>
      </c>
      <c r="O29" s="9">
        <v>3294662</v>
      </c>
      <c r="P29" s="9">
        <v>2852440</v>
      </c>
    </row>
    <row r="30" spans="2:16" ht="15" customHeight="1">
      <c r="B30" s="8" t="s">
        <v>74</v>
      </c>
      <c r="C30" s="8" t="s">
        <v>29</v>
      </c>
      <c r="D30" s="9">
        <v>108452441</v>
      </c>
      <c r="E30" s="9">
        <v>109111159</v>
      </c>
      <c r="F30" s="9">
        <v>111022779</v>
      </c>
      <c r="G30" s="9">
        <v>111481135</v>
      </c>
      <c r="H30" s="9">
        <v>111481135</v>
      </c>
      <c r="I30" s="9">
        <v>113576582</v>
      </c>
      <c r="J30" s="9">
        <v>122024315</v>
      </c>
      <c r="K30" s="9">
        <v>124629188</v>
      </c>
      <c r="L30" s="9">
        <v>149616658</v>
      </c>
      <c r="M30" s="9">
        <v>147745854</v>
      </c>
      <c r="N30" s="9">
        <v>149675448</v>
      </c>
      <c r="O30" s="9">
        <v>151026677</v>
      </c>
      <c r="P30" s="9">
        <v>156480343</v>
      </c>
    </row>
    <row r="31" spans="2:16" ht="15" customHeight="1">
      <c r="B31" s="8" t="s">
        <v>105</v>
      </c>
      <c r="C31" s="8" t="s">
        <v>106</v>
      </c>
      <c r="D31" s="9">
        <v>1609089</v>
      </c>
      <c r="E31" s="9">
        <v>4232640</v>
      </c>
      <c r="F31" s="9">
        <v>3089265</v>
      </c>
      <c r="G31" s="9">
        <v>6940096</v>
      </c>
      <c r="H31" s="9">
        <v>6940096</v>
      </c>
      <c r="I31" s="9">
        <v>7041622</v>
      </c>
      <c r="J31" s="9">
        <v>8654914</v>
      </c>
      <c r="K31" s="9">
        <v>10899542</v>
      </c>
      <c r="L31" s="9">
        <v>9896543</v>
      </c>
      <c r="M31" s="9">
        <v>12276566</v>
      </c>
      <c r="N31" s="9">
        <v>7816340</v>
      </c>
      <c r="O31" s="9">
        <v>1024092</v>
      </c>
      <c r="P31" s="9">
        <v>990863</v>
      </c>
    </row>
    <row r="32" spans="2:16" ht="15" customHeight="1">
      <c r="B32" s="8" t="s">
        <v>75</v>
      </c>
      <c r="C32" s="8" t="s">
        <v>30</v>
      </c>
      <c r="D32" s="9">
        <v>5384435</v>
      </c>
      <c r="E32" s="9">
        <v>5961983</v>
      </c>
      <c r="F32" s="9">
        <v>5895475</v>
      </c>
      <c r="G32" s="9">
        <v>5895814</v>
      </c>
      <c r="H32" s="9">
        <v>5895814</v>
      </c>
      <c r="I32" s="9">
        <v>5164719</v>
      </c>
      <c r="J32" s="9">
        <v>2665741</v>
      </c>
      <c r="K32" s="9">
        <v>8208916</v>
      </c>
      <c r="L32" s="9">
        <v>9368617</v>
      </c>
      <c r="M32" s="9">
        <v>9297910</v>
      </c>
      <c r="N32" s="9">
        <v>9888731</v>
      </c>
      <c r="O32" s="9">
        <v>11234769</v>
      </c>
      <c r="P32" s="9">
        <v>10629516</v>
      </c>
    </row>
    <row r="33" spans="2:16" ht="15" customHeight="1">
      <c r="B33" s="8" t="s">
        <v>158</v>
      </c>
      <c r="C33" s="8" t="s">
        <v>159</v>
      </c>
      <c r="D33" s="9">
        <v>0</v>
      </c>
      <c r="E33" s="9">
        <v>0</v>
      </c>
      <c r="F33" s="9">
        <v>0</v>
      </c>
      <c r="G33" s="9">
        <v>0</v>
      </c>
      <c r="H33" s="9">
        <v>0</v>
      </c>
      <c r="I33" s="9">
        <v>0</v>
      </c>
      <c r="J33" s="9">
        <v>0</v>
      </c>
      <c r="K33" s="9">
        <v>0</v>
      </c>
      <c r="L33" s="9">
        <v>0</v>
      </c>
      <c r="M33" s="9">
        <v>829328</v>
      </c>
      <c r="N33" s="9">
        <v>783653</v>
      </c>
      <c r="O33" s="9">
        <v>753151</v>
      </c>
      <c r="P33" s="9">
        <v>746632</v>
      </c>
    </row>
    <row r="34" spans="2:16" ht="15" customHeight="1">
      <c r="B34" s="8" t="s">
        <v>76</v>
      </c>
      <c r="C34" s="8" t="s">
        <v>31</v>
      </c>
      <c r="D34" s="9">
        <v>931147</v>
      </c>
      <c r="E34" s="9">
        <v>929221</v>
      </c>
      <c r="F34" s="9">
        <v>951054</v>
      </c>
      <c r="G34" s="9">
        <v>1488602</v>
      </c>
      <c r="H34" s="9">
        <v>1488602</v>
      </c>
      <c r="I34" s="9">
        <v>1500901</v>
      </c>
      <c r="J34" s="9">
        <v>6068808</v>
      </c>
      <c r="K34" s="9">
        <v>2641923</v>
      </c>
      <c r="L34" s="9">
        <v>2644341</v>
      </c>
      <c r="M34" s="9">
        <v>2652866</v>
      </c>
      <c r="N34" s="9">
        <v>2627382</v>
      </c>
      <c r="O34" s="9">
        <v>2679254</v>
      </c>
      <c r="P34" s="9">
        <v>2630271</v>
      </c>
    </row>
    <row r="35" spans="2:16" ht="15" customHeight="1">
      <c r="B35" s="8" t="s">
        <v>77</v>
      </c>
      <c r="C35" s="8" t="s">
        <v>32</v>
      </c>
      <c r="D35" s="9">
        <v>0</v>
      </c>
      <c r="E35" s="9">
        <v>87089</v>
      </c>
      <c r="F35" s="9">
        <v>143726</v>
      </c>
      <c r="G35" s="9">
        <v>192925</v>
      </c>
      <c r="H35" s="9">
        <v>192925</v>
      </c>
      <c r="I35" s="9">
        <v>147693</v>
      </c>
      <c r="J35" s="9">
        <v>114479</v>
      </c>
      <c r="K35" s="9">
        <v>140937</v>
      </c>
      <c r="L35" s="9">
        <v>288300</v>
      </c>
      <c r="M35" s="9">
        <v>244386</v>
      </c>
      <c r="N35" s="9">
        <v>164102</v>
      </c>
      <c r="O35" s="9">
        <v>350464</v>
      </c>
      <c r="P35" s="9">
        <v>343763</v>
      </c>
    </row>
    <row r="36" spans="2:16" ht="15" customHeight="1">
      <c r="B36" s="8" t="s">
        <v>132</v>
      </c>
      <c r="C36" s="8" t="s">
        <v>134</v>
      </c>
      <c r="D36" s="9">
        <v>51497</v>
      </c>
      <c r="E36" s="9">
        <v>49198</v>
      </c>
      <c r="F36" s="9">
        <v>49595</v>
      </c>
      <c r="G36" s="9">
        <v>50652</v>
      </c>
      <c r="H36" s="9">
        <v>65686</v>
      </c>
      <c r="I36" s="9">
        <v>68036</v>
      </c>
      <c r="J36" s="9">
        <v>64295</v>
      </c>
      <c r="K36" s="9">
        <v>65656</v>
      </c>
      <c r="L36" s="9">
        <v>81048</v>
      </c>
      <c r="M36" s="9">
        <v>71081</v>
      </c>
      <c r="N36" s="9">
        <v>54716</v>
      </c>
      <c r="O36" s="9">
        <v>56080</v>
      </c>
      <c r="P36" s="9">
        <v>66109</v>
      </c>
    </row>
    <row r="37" spans="2:16" ht="15" customHeight="1">
      <c r="B37" s="8" t="s">
        <v>133</v>
      </c>
      <c r="C37" s="8" t="s">
        <v>135</v>
      </c>
      <c r="D37" s="9">
        <v>82727</v>
      </c>
      <c r="E37" s="9">
        <v>89589</v>
      </c>
      <c r="F37" s="9">
        <v>111160</v>
      </c>
      <c r="G37" s="9">
        <v>102482</v>
      </c>
      <c r="H37" s="9">
        <v>102482</v>
      </c>
      <c r="I37" s="9">
        <v>108114</v>
      </c>
      <c r="J37" s="9">
        <v>152034</v>
      </c>
      <c r="K37" s="9">
        <v>118947</v>
      </c>
      <c r="L37" s="9">
        <v>132881</v>
      </c>
      <c r="M37" s="9">
        <v>199142</v>
      </c>
      <c r="N37" s="9">
        <v>179256</v>
      </c>
      <c r="O37" s="9">
        <v>169423</v>
      </c>
      <c r="P37" s="9">
        <v>445615</v>
      </c>
    </row>
    <row r="38" spans="2:16" ht="15" customHeight="1">
      <c r="B38" s="8" t="s">
        <v>112</v>
      </c>
      <c r="C38" s="8" t="s">
        <v>33</v>
      </c>
      <c r="D38" s="9">
        <v>2493215</v>
      </c>
      <c r="E38" s="9">
        <v>2185711</v>
      </c>
      <c r="F38" s="9">
        <v>2530310</v>
      </c>
      <c r="G38" s="9">
        <v>2882676</v>
      </c>
      <c r="H38" s="9">
        <v>2882850</v>
      </c>
      <c r="I38" s="9">
        <v>2431684</v>
      </c>
      <c r="J38" s="9">
        <v>2632224</v>
      </c>
      <c r="K38" s="9">
        <v>2619243</v>
      </c>
      <c r="L38" s="9">
        <v>2806404</v>
      </c>
      <c r="M38" s="9">
        <v>3122394</v>
      </c>
      <c r="N38" s="9">
        <v>3046580</v>
      </c>
      <c r="O38" s="9">
        <v>3069057</v>
      </c>
      <c r="P38" s="9">
        <v>2279360</v>
      </c>
    </row>
    <row r="39" spans="2:16" ht="15" customHeight="1">
      <c r="B39" s="26" t="s">
        <v>78</v>
      </c>
      <c r="C39" s="26" t="s">
        <v>34</v>
      </c>
      <c r="D39" s="27">
        <f t="shared" ref="D39:P39" si="1">SUM(D28:D38)</f>
        <v>125347661</v>
      </c>
      <c r="E39" s="27">
        <f t="shared" si="1"/>
        <v>128109060</v>
      </c>
      <c r="F39" s="27">
        <f t="shared" si="1"/>
        <v>129378875</v>
      </c>
      <c r="G39" s="27">
        <f t="shared" si="1"/>
        <v>133864862</v>
      </c>
      <c r="H39" s="27">
        <f>SUM(H28:H38)</f>
        <v>133880070</v>
      </c>
      <c r="I39" s="27">
        <f t="shared" si="1"/>
        <v>136097206</v>
      </c>
      <c r="J39" s="27">
        <f t="shared" si="1"/>
        <v>147880243</v>
      </c>
      <c r="K39" s="27">
        <f t="shared" si="1"/>
        <v>155385455</v>
      </c>
      <c r="L39" s="27">
        <f t="shared" si="1"/>
        <v>180061603</v>
      </c>
      <c r="M39" s="27">
        <f t="shared" si="1"/>
        <v>182238997</v>
      </c>
      <c r="N39" s="27">
        <f t="shared" si="1"/>
        <v>180371564</v>
      </c>
      <c r="O39" s="27">
        <f t="shared" si="1"/>
        <v>177654823</v>
      </c>
      <c r="P39" s="27">
        <f t="shared" si="1"/>
        <v>182496656</v>
      </c>
    </row>
    <row r="40" spans="2:16" ht="15" customHeight="1">
      <c r="B40" s="25" t="s">
        <v>79</v>
      </c>
      <c r="C40" s="25" t="s">
        <v>35</v>
      </c>
      <c r="D40" s="9"/>
      <c r="E40" s="9"/>
      <c r="F40" s="9"/>
      <c r="G40" s="9"/>
      <c r="H40" s="9"/>
      <c r="I40" s="9"/>
      <c r="J40" s="9"/>
      <c r="K40" s="9"/>
      <c r="L40" s="9"/>
      <c r="M40" s="9"/>
      <c r="N40" s="9"/>
      <c r="O40" s="9"/>
      <c r="P40" s="9"/>
    </row>
    <row r="41" spans="2:16" ht="15" customHeight="1">
      <c r="B41" s="26" t="s">
        <v>152</v>
      </c>
      <c r="C41" s="26" t="s">
        <v>151</v>
      </c>
      <c r="D41" s="27">
        <f t="shared" ref="D41:P41" si="2">SUM(D42:D46)</f>
        <v>20357769</v>
      </c>
      <c r="E41" s="27">
        <f t="shared" si="2"/>
        <v>20611167</v>
      </c>
      <c r="F41" s="27">
        <f t="shared" si="2"/>
        <v>21286695</v>
      </c>
      <c r="G41" s="27">
        <f t="shared" si="2"/>
        <v>21893318</v>
      </c>
      <c r="H41" s="27">
        <f>SUM(H42:H46)</f>
        <v>21638865</v>
      </c>
      <c r="I41" s="27">
        <f t="shared" si="2"/>
        <v>22214036</v>
      </c>
      <c r="J41" s="27">
        <f t="shared" si="2"/>
        <v>22549097</v>
      </c>
      <c r="K41" s="27">
        <f t="shared" si="2"/>
        <v>23020221</v>
      </c>
      <c r="L41" s="27">
        <f t="shared" si="2"/>
        <v>25030516</v>
      </c>
      <c r="M41" s="27">
        <f t="shared" si="2"/>
        <v>25379061</v>
      </c>
      <c r="N41" s="27">
        <f t="shared" si="2"/>
        <v>24132373</v>
      </c>
      <c r="O41" s="27">
        <f t="shared" si="2"/>
        <v>24937822</v>
      </c>
      <c r="P41" s="27">
        <f t="shared" si="2"/>
        <v>25431987</v>
      </c>
    </row>
    <row r="42" spans="2:16" ht="15" customHeight="1">
      <c r="B42" s="8" t="s">
        <v>80</v>
      </c>
      <c r="C42" s="8" t="s">
        <v>36</v>
      </c>
      <c r="D42" s="9">
        <v>992345</v>
      </c>
      <c r="E42" s="9">
        <v>992345</v>
      </c>
      <c r="F42" s="9">
        <v>993335</v>
      </c>
      <c r="G42" s="9">
        <v>993335</v>
      </c>
      <c r="H42" s="9">
        <v>993335</v>
      </c>
      <c r="I42" s="9">
        <v>993335</v>
      </c>
      <c r="J42" s="9">
        <v>993335</v>
      </c>
      <c r="K42" s="9">
        <v>993335</v>
      </c>
      <c r="L42" s="9">
        <v>1020883</v>
      </c>
      <c r="M42" s="9">
        <v>1020883</v>
      </c>
      <c r="N42" s="9">
        <v>1020883</v>
      </c>
      <c r="O42" s="9">
        <v>1020883</v>
      </c>
      <c r="P42" s="9">
        <v>1020883</v>
      </c>
    </row>
    <row r="43" spans="2:16" ht="15" customHeight="1">
      <c r="B43" s="8" t="s">
        <v>81</v>
      </c>
      <c r="C43" s="8" t="s">
        <v>37</v>
      </c>
      <c r="D43" s="9">
        <v>15799143</v>
      </c>
      <c r="E43" s="9">
        <v>16916409</v>
      </c>
      <c r="F43" s="9">
        <v>16920093</v>
      </c>
      <c r="G43" s="9">
        <v>16920129</v>
      </c>
      <c r="H43" s="9">
        <v>16920129</v>
      </c>
      <c r="I43" s="9">
        <v>16923096</v>
      </c>
      <c r="J43" s="9">
        <v>17959061</v>
      </c>
      <c r="K43" s="9">
        <v>17962140</v>
      </c>
      <c r="L43" s="9">
        <v>18911741</v>
      </c>
      <c r="M43" s="9">
        <v>18914513</v>
      </c>
      <c r="N43" s="9">
        <v>20123479</v>
      </c>
      <c r="O43" s="9">
        <v>20126366</v>
      </c>
      <c r="P43" s="9">
        <v>20141925</v>
      </c>
    </row>
    <row r="44" spans="2:16" ht="15" customHeight="1">
      <c r="B44" s="8" t="s">
        <v>82</v>
      </c>
      <c r="C44" s="8" t="s">
        <v>38</v>
      </c>
      <c r="D44" s="9">
        <v>392443</v>
      </c>
      <c r="E44" s="9">
        <v>531471</v>
      </c>
      <c r="F44" s="9">
        <v>645109</v>
      </c>
      <c r="G44" s="9">
        <v>714466</v>
      </c>
      <c r="H44" s="9">
        <v>670419</v>
      </c>
      <c r="I44" s="9">
        <v>807876</v>
      </c>
      <c r="J44" s="9">
        <v>803829</v>
      </c>
      <c r="K44" s="9">
        <v>774943</v>
      </c>
      <c r="L44" s="9">
        <v>1019373</v>
      </c>
      <c r="M44" s="9">
        <v>1025050</v>
      </c>
      <c r="N44" s="9">
        <v>1213076</v>
      </c>
      <c r="O44" s="9">
        <v>1331334</v>
      </c>
      <c r="P44" s="9">
        <v>1316061</v>
      </c>
    </row>
    <row r="45" spans="2:16" ht="15" customHeight="1">
      <c r="B45" s="8" t="s">
        <v>83</v>
      </c>
      <c r="C45" s="8" t="s">
        <v>39</v>
      </c>
      <c r="D45" s="9">
        <v>2721377</v>
      </c>
      <c r="E45" s="9">
        <v>1070567</v>
      </c>
      <c r="F45" s="9">
        <v>1071356</v>
      </c>
      <c r="G45" s="9">
        <v>1066075</v>
      </c>
      <c r="H45" s="9">
        <v>855668</v>
      </c>
      <c r="I45" s="9">
        <v>3055796</v>
      </c>
      <c r="J45" s="9">
        <v>1715129</v>
      </c>
      <c r="K45" s="9">
        <v>1714594</v>
      </c>
      <c r="L45" s="9">
        <v>1715165</v>
      </c>
      <c r="M45" s="9">
        <v>4079608</v>
      </c>
      <c r="N45" s="9">
        <v>839463</v>
      </c>
      <c r="O45" s="9">
        <v>827926</v>
      </c>
      <c r="P45" s="9">
        <v>814771</v>
      </c>
    </row>
    <row r="46" spans="2:16" ht="15" customHeight="1">
      <c r="B46" s="8" t="s">
        <v>84</v>
      </c>
      <c r="C46" s="8" t="s">
        <v>40</v>
      </c>
      <c r="D46" s="9">
        <v>452461</v>
      </c>
      <c r="E46" s="9">
        <v>1100375</v>
      </c>
      <c r="F46" s="9">
        <v>1656802</v>
      </c>
      <c r="G46" s="9">
        <v>2199313</v>
      </c>
      <c r="H46" s="9">
        <v>2199314</v>
      </c>
      <c r="I46" s="9">
        <v>433933</v>
      </c>
      <c r="J46" s="9">
        <v>1077743</v>
      </c>
      <c r="K46" s="9">
        <v>1575209</v>
      </c>
      <c r="L46" s="9">
        <v>2363354</v>
      </c>
      <c r="M46" s="9">
        <v>339007</v>
      </c>
      <c r="N46" s="9">
        <v>935472</v>
      </c>
      <c r="O46" s="9">
        <v>1631313</v>
      </c>
      <c r="P46" s="9">
        <v>2138347</v>
      </c>
    </row>
    <row r="47" spans="2:16" ht="15" customHeight="1">
      <c r="B47" s="26" t="s">
        <v>85</v>
      </c>
      <c r="C47" s="26" t="s">
        <v>49</v>
      </c>
      <c r="D47" s="28">
        <v>1332876</v>
      </c>
      <c r="E47" s="28">
        <v>1285398</v>
      </c>
      <c r="F47" s="28">
        <v>1361825</v>
      </c>
      <c r="G47" s="28">
        <v>1436409</v>
      </c>
      <c r="H47" s="28">
        <v>1436409</v>
      </c>
      <c r="I47" s="28">
        <v>1530692</v>
      </c>
      <c r="J47" s="28">
        <v>1411000</v>
      </c>
      <c r="K47" s="28">
        <v>1489854</v>
      </c>
      <c r="L47" s="28">
        <v>1564184</v>
      </c>
      <c r="M47" s="28">
        <v>1410453</v>
      </c>
      <c r="N47" s="28">
        <v>1397309</v>
      </c>
      <c r="O47" s="28">
        <v>1480340</v>
      </c>
      <c r="P47" s="28">
        <v>1547523</v>
      </c>
    </row>
    <row r="48" spans="2:16" ht="15" customHeight="1">
      <c r="B48" s="26" t="s">
        <v>86</v>
      </c>
      <c r="C48" s="26" t="s">
        <v>41</v>
      </c>
      <c r="D48" s="27">
        <f t="shared" ref="D48:P48" si="3">D41+D47</f>
        <v>21690645</v>
      </c>
      <c r="E48" s="27">
        <f t="shared" si="3"/>
        <v>21896565</v>
      </c>
      <c r="F48" s="27">
        <f t="shared" si="3"/>
        <v>22648520</v>
      </c>
      <c r="G48" s="27">
        <f t="shared" si="3"/>
        <v>23329727</v>
      </c>
      <c r="H48" s="27">
        <f>H41+H47</f>
        <v>23075274</v>
      </c>
      <c r="I48" s="27">
        <f t="shared" si="3"/>
        <v>23744728</v>
      </c>
      <c r="J48" s="27">
        <f t="shared" si="3"/>
        <v>23960097</v>
      </c>
      <c r="K48" s="27">
        <f t="shared" si="3"/>
        <v>24510075</v>
      </c>
      <c r="L48" s="27">
        <f t="shared" si="3"/>
        <v>26594700</v>
      </c>
      <c r="M48" s="27">
        <f t="shared" si="3"/>
        <v>26789514</v>
      </c>
      <c r="N48" s="27">
        <f t="shared" si="3"/>
        <v>25529682</v>
      </c>
      <c r="O48" s="27">
        <f t="shared" si="3"/>
        <v>26418162</v>
      </c>
      <c r="P48" s="27">
        <f t="shared" si="3"/>
        <v>26979510</v>
      </c>
    </row>
    <row r="49" spans="1:22" ht="15" customHeight="1">
      <c r="B49" s="23" t="s">
        <v>267</v>
      </c>
      <c r="C49" s="23" t="s">
        <v>42</v>
      </c>
      <c r="D49" s="24">
        <f t="shared" ref="D49:P49" si="4">D39+D48</f>
        <v>147038306</v>
      </c>
      <c r="E49" s="24">
        <f t="shared" si="4"/>
        <v>150005625</v>
      </c>
      <c r="F49" s="24">
        <f t="shared" si="4"/>
        <v>152027395</v>
      </c>
      <c r="G49" s="24">
        <f t="shared" si="4"/>
        <v>157194589</v>
      </c>
      <c r="H49" s="24">
        <f t="shared" si="4"/>
        <v>156955344</v>
      </c>
      <c r="I49" s="24">
        <f t="shared" si="4"/>
        <v>159841934</v>
      </c>
      <c r="J49" s="24">
        <f t="shared" si="4"/>
        <v>171840340</v>
      </c>
      <c r="K49" s="24">
        <f t="shared" si="4"/>
        <v>179895530</v>
      </c>
      <c r="L49" s="24">
        <f t="shared" si="4"/>
        <v>206656303</v>
      </c>
      <c r="M49" s="24">
        <f t="shared" si="4"/>
        <v>209028511</v>
      </c>
      <c r="N49" s="24">
        <f t="shared" si="4"/>
        <v>205901246</v>
      </c>
      <c r="O49" s="24">
        <f t="shared" si="4"/>
        <v>204072985</v>
      </c>
      <c r="P49" s="24">
        <f t="shared" si="4"/>
        <v>209476166</v>
      </c>
    </row>
    <row r="50" spans="1:22" s="306" customFormat="1" ht="12.75">
      <c r="D50" s="287">
        <f t="shared" ref="D50:P50" si="5">D26-D49</f>
        <v>0</v>
      </c>
      <c r="E50" s="287">
        <f t="shared" si="5"/>
        <v>0</v>
      </c>
      <c r="F50" s="287">
        <f t="shared" si="5"/>
        <v>0</v>
      </c>
      <c r="G50" s="287">
        <f t="shared" si="5"/>
        <v>0</v>
      </c>
      <c r="H50" s="287">
        <f>H26-H49</f>
        <v>0</v>
      </c>
      <c r="I50" s="287">
        <f t="shared" si="5"/>
        <v>0</v>
      </c>
      <c r="J50" s="287">
        <f t="shared" si="5"/>
        <v>0</v>
      </c>
      <c r="K50" s="287">
        <f t="shared" si="5"/>
        <v>0</v>
      </c>
      <c r="L50" s="287">
        <f t="shared" si="5"/>
        <v>0</v>
      </c>
      <c r="M50" s="287">
        <f t="shared" si="5"/>
        <v>0</v>
      </c>
      <c r="N50" s="287">
        <f t="shared" si="5"/>
        <v>0</v>
      </c>
      <c r="O50" s="287">
        <f t="shared" si="5"/>
        <v>0</v>
      </c>
      <c r="P50" s="287">
        <f t="shared" si="5"/>
        <v>0</v>
      </c>
    </row>
    <row r="51" spans="1:22" s="15" customFormat="1">
      <c r="A51" s="348"/>
      <c r="B51" s="348" t="s">
        <v>642</v>
      </c>
      <c r="C51" s="348"/>
      <c r="D51" s="349">
        <v>146378295</v>
      </c>
      <c r="E51" s="349">
        <v>149766718</v>
      </c>
      <c r="F51" s="349">
        <v>150424368</v>
      </c>
      <c r="G51" s="349">
        <v>152674444</v>
      </c>
      <c r="H51" s="349"/>
      <c r="I51" s="349">
        <v>157556422</v>
      </c>
      <c r="J51" s="349">
        <v>168517212</v>
      </c>
      <c r="K51" s="349">
        <v>177399883</v>
      </c>
      <c r="L51" s="349">
        <v>205852860</v>
      </c>
      <c r="M51" s="349">
        <v>208266363</v>
      </c>
      <c r="N51" s="349">
        <v>205826460</v>
      </c>
      <c r="O51" s="349">
        <v>204072985</v>
      </c>
      <c r="P51" s="349"/>
      <c r="Q51" s="348"/>
      <c r="R51" s="348"/>
      <c r="S51" s="348"/>
      <c r="T51" s="348"/>
      <c r="U51" s="348"/>
      <c r="V51" s="348"/>
    </row>
    <row r="52" spans="1:22" s="15" customFormat="1">
      <c r="A52" s="348"/>
      <c r="B52" s="348" t="s">
        <v>643</v>
      </c>
      <c r="C52" s="348"/>
      <c r="D52" s="349">
        <f>D49-D51</f>
        <v>660011</v>
      </c>
      <c r="E52" s="349">
        <f t="shared" ref="E52:O52" si="6">E49-E51</f>
        <v>238907</v>
      </c>
      <c r="F52" s="349">
        <f t="shared" si="6"/>
        <v>1603027</v>
      </c>
      <c r="G52" s="349">
        <f t="shared" si="6"/>
        <v>4520145</v>
      </c>
      <c r="H52" s="349"/>
      <c r="I52" s="349">
        <f t="shared" si="6"/>
        <v>2285512</v>
      </c>
      <c r="J52" s="349">
        <f t="shared" si="6"/>
        <v>3323128</v>
      </c>
      <c r="K52" s="349">
        <f t="shared" si="6"/>
        <v>2495647</v>
      </c>
      <c r="L52" s="349">
        <f t="shared" si="6"/>
        <v>803443</v>
      </c>
      <c r="M52" s="349">
        <f t="shared" si="6"/>
        <v>762148</v>
      </c>
      <c r="N52" s="349">
        <f t="shared" si="6"/>
        <v>74786</v>
      </c>
      <c r="O52" s="349">
        <f t="shared" si="6"/>
        <v>0</v>
      </c>
      <c r="P52" s="349"/>
      <c r="Q52" s="348"/>
      <c r="R52" s="348"/>
      <c r="S52" s="348"/>
      <c r="T52" s="348"/>
      <c r="U52" s="348"/>
      <c r="V52" s="348"/>
    </row>
    <row r="53" spans="1:22">
      <c r="C53" s="29"/>
      <c r="D53" s="276" t="e">
        <f>D5-#REF!</f>
        <v>#REF!</v>
      </c>
      <c r="E53" s="276" t="e">
        <f>E5-#REF!</f>
        <v>#REF!</v>
      </c>
      <c r="F53" s="276" t="e">
        <f>F5-#REF!</f>
        <v>#REF!</v>
      </c>
      <c r="G53" s="276" t="e">
        <f>G5-#REF!</f>
        <v>#REF!</v>
      </c>
      <c r="H53" s="276"/>
      <c r="I53" s="276" t="e">
        <f>I5-#REF!</f>
        <v>#REF!</v>
      </c>
      <c r="J53" s="276" t="e">
        <f>J5-#REF!</f>
        <v>#REF!</v>
      </c>
      <c r="K53" s="276" t="e">
        <f>K5-#REF!</f>
        <v>#REF!</v>
      </c>
      <c r="L53" s="276" t="e">
        <f>L5-#REF!</f>
        <v>#REF!</v>
      </c>
      <c r="M53" s="276" t="e">
        <f>M5-#REF!</f>
        <v>#REF!</v>
      </c>
      <c r="N53" s="276" t="e">
        <f>N5-#REF!</f>
        <v>#REF!</v>
      </c>
      <c r="O53" s="276" t="e">
        <f>O5-#REF!</f>
        <v>#REF!</v>
      </c>
      <c r="P53" s="276" t="e">
        <f>P5-#REF!</f>
        <v>#REF!</v>
      </c>
    </row>
    <row r="54" spans="1:22">
      <c r="C54" s="29"/>
      <c r="D54" s="29"/>
      <c r="E54" s="29"/>
      <c r="F54" s="29"/>
      <c r="G54" s="29"/>
      <c r="H54" s="29"/>
      <c r="I54" s="29"/>
      <c r="J54" s="29"/>
      <c r="K54" s="29"/>
      <c r="L54" s="29"/>
      <c r="M54" s="29"/>
      <c r="N54" s="29"/>
    </row>
    <row r="55" spans="1:22">
      <c r="C55" s="29"/>
      <c r="D55" s="29"/>
      <c r="E55" s="29"/>
      <c r="F55" s="29"/>
      <c r="G55" s="29"/>
      <c r="H55" s="29"/>
      <c r="I55" s="29"/>
      <c r="J55" s="29"/>
      <c r="K55" s="29"/>
      <c r="L55" s="29"/>
      <c r="M55" s="29"/>
      <c r="N55" s="29"/>
    </row>
    <row r="56" spans="1:22">
      <c r="C56" s="29"/>
      <c r="D56" s="29"/>
      <c r="E56" s="29"/>
      <c r="F56" s="29"/>
      <c r="G56" s="29"/>
      <c r="H56" s="29"/>
      <c r="I56" s="29"/>
      <c r="J56" s="29"/>
      <c r="K56" s="29"/>
      <c r="L56" s="29"/>
      <c r="M56" s="29"/>
      <c r="N56" s="29"/>
    </row>
  </sheetData>
  <customSheetViews>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DA78CF1-615A-4626-9893-6751995631A4}" showPageBreaks="1" printArea="1" topLeftCell="C7">
      <selection activeCell="J63" sqref="J63"/>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topLeftCell="C49">
      <selection activeCell="J63" sqref="J63"/>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99D69CD-4B7E-42BC-9944-5BD922EB798C}" showPageBreaks="1" printArea="1" topLeftCell="C1">
      <pane xSplit="1" ySplit="1" topLeftCell="D2" activePane="bottomRight" state="frozen"/>
      <selection pane="bottomRight" activeCell="C52" sqref="C52"/>
      <pageMargins left="0" right="0" top="0.98425196850393704" bottom="0.98425196850393704" header="0.51181102362204722" footer="0.51181102362204722"/>
      <pageSetup paperSize="9" scale="48" orientation="landscape" r:id="rId4"/>
      <headerFooter alignWithMargins="0"/>
    </customSheetView>
    <customSheetView guid="{9AF4A83C-CF57-4B40-8A74-6A0EA6C2FE5C}" showPageBreaks="1" printArea="1">
      <selection activeCell="E29" sqref="E29"/>
      <pageMargins left="0.98425196850393704" right="0.98425196850393704" top="0.98425196850393704" bottom="0.98425196850393704" header="0.51181102362204722" footer="0.51181102362204722"/>
      <pageSetup paperSize="9" scale="37" orientation="landscape" r:id="rId5"/>
      <headerFooter alignWithMargins="0"/>
    </customSheetView>
  </customSheetViews>
  <pageMargins left="0.98425196850393704" right="0.98425196850393704" top="0.98425196850393704" bottom="0.98425196850393704" header="0.51181102362204722" footer="0.51181102362204722"/>
  <pageSetup paperSize="9" scale="37" orientation="landscape" r:id="rId6"/>
  <headerFooter alignWithMargins="0"/>
  <ignoredErrors>
    <ignoredError sqref="D41:P52" formulaRange="1"/>
    <ignoredError sqref="D53:P53" evalError="1" formulaRange="1"/>
    <ignoredError sqref="D54:P54"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25FAB884-5E17-4008-8139-33D910C7DEFE}"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12F8D032-8143-430B-8DFF-852E8796C402}"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A6" sqref="A6"/>
    </sheetView>
  </sheetViews>
  <sheetFormatPr defaultColWidth="8.7109375" defaultRowHeight="14.25"/>
  <cols>
    <col min="1" max="2" width="50.7109375" style="6" customWidth="1"/>
    <col min="3" max="9" width="13.42578125" style="6" customWidth="1"/>
    <col min="10" max="14" width="13.42578125" style="341" customWidth="1"/>
    <col min="15" max="16384" width="8.7109375" style="6"/>
  </cols>
  <sheetData>
    <row r="1" spans="1:14" s="398" customFormat="1" ht="19.5" customHeight="1" thickBot="1">
      <c r="A1" s="396" t="s">
        <v>89</v>
      </c>
      <c r="B1" s="396" t="s">
        <v>1</v>
      </c>
      <c r="C1" s="397" t="s">
        <v>189</v>
      </c>
      <c r="D1" s="397" t="s">
        <v>190</v>
      </c>
      <c r="E1" s="397" t="s">
        <v>191</v>
      </c>
      <c r="F1" s="397" t="s">
        <v>192</v>
      </c>
      <c r="G1" s="397" t="s">
        <v>193</v>
      </c>
      <c r="H1" s="397" t="s">
        <v>194</v>
      </c>
      <c r="I1" s="397" t="s">
        <v>195</v>
      </c>
      <c r="J1" s="397" t="s">
        <v>196</v>
      </c>
      <c r="K1" s="397" t="s">
        <v>197</v>
      </c>
      <c r="L1" s="397" t="s">
        <v>198</v>
      </c>
      <c r="M1" s="397" t="s">
        <v>633</v>
      </c>
      <c r="N1" s="397" t="s">
        <v>644</v>
      </c>
    </row>
    <row r="2" spans="1:14" s="22" customFormat="1" ht="28.5">
      <c r="A2" s="404" t="s">
        <v>244</v>
      </c>
      <c r="B2" s="404" t="s">
        <v>150</v>
      </c>
      <c r="C2" s="399">
        <f t="shared" ref="C2:F2" si="0">SUM(C3:C4,C6,C7:C10)</f>
        <v>1559802</v>
      </c>
      <c r="D2" s="399">
        <f t="shared" si="0"/>
        <v>1620968</v>
      </c>
      <c r="E2" s="399">
        <f t="shared" si="0"/>
        <v>1663808</v>
      </c>
      <c r="F2" s="399">
        <f t="shared" si="0"/>
        <v>1684729</v>
      </c>
      <c r="G2" s="399">
        <f>SUM(G3:G4,G6,G7:G10)</f>
        <v>1688501</v>
      </c>
      <c r="H2" s="399">
        <f t="shared" ref="H2:N2" si="1">SUM(H3:H4,H6,H7:H10)</f>
        <v>1736743</v>
      </c>
      <c r="I2" s="399">
        <f t="shared" si="1"/>
        <v>1805709</v>
      </c>
      <c r="J2" s="399">
        <f t="shared" si="1"/>
        <v>1982843</v>
      </c>
      <c r="K2" s="399">
        <f t="shared" si="1"/>
        <v>2081699</v>
      </c>
      <c r="L2" s="399">
        <f t="shared" si="1"/>
        <v>2116449</v>
      </c>
      <c r="M2" s="399">
        <f t="shared" si="1"/>
        <v>2166156</v>
      </c>
      <c r="N2" s="399">
        <f t="shared" si="1"/>
        <v>2097532</v>
      </c>
    </row>
    <row r="3" spans="1:14" ht="15" customHeight="1">
      <c r="A3" s="405" t="s">
        <v>658</v>
      </c>
      <c r="B3" s="405" t="s">
        <v>657</v>
      </c>
      <c r="C3" s="400">
        <v>460085</v>
      </c>
      <c r="D3" s="400">
        <v>487186</v>
      </c>
      <c r="E3" s="400">
        <v>492361</v>
      </c>
      <c r="F3" s="400">
        <v>497431</v>
      </c>
      <c r="G3" s="400">
        <f t="shared" ref="G3:N3" si="2">G12+G20+G23</f>
        <v>496216</v>
      </c>
      <c r="H3" s="400">
        <f t="shared" si="2"/>
        <v>511595</v>
      </c>
      <c r="I3" s="400">
        <f t="shared" si="2"/>
        <v>534737</v>
      </c>
      <c r="J3" s="400">
        <f t="shared" si="2"/>
        <v>580009</v>
      </c>
      <c r="K3" s="400">
        <f t="shared" si="2"/>
        <v>612516</v>
      </c>
      <c r="L3" s="400">
        <f t="shared" si="2"/>
        <v>622815</v>
      </c>
      <c r="M3" s="400">
        <f t="shared" si="2"/>
        <v>638868</v>
      </c>
      <c r="N3" s="400">
        <f t="shared" si="2"/>
        <v>645950</v>
      </c>
    </row>
    <row r="4" spans="1:14" ht="15" customHeight="1">
      <c r="A4" s="405" t="s">
        <v>246</v>
      </c>
      <c r="B4" s="405" t="s">
        <v>175</v>
      </c>
      <c r="C4" s="400">
        <v>853134</v>
      </c>
      <c r="D4" s="400">
        <v>888127</v>
      </c>
      <c r="E4" s="400">
        <v>920251</v>
      </c>
      <c r="F4" s="400">
        <v>940928</v>
      </c>
      <c r="G4" s="400">
        <f t="shared" ref="G4:N5" si="3">G13+G24</f>
        <v>947745</v>
      </c>
      <c r="H4" s="400">
        <f t="shared" si="3"/>
        <v>978260</v>
      </c>
      <c r="I4" s="400">
        <f t="shared" si="3"/>
        <v>1002343</v>
      </c>
      <c r="J4" s="400">
        <f t="shared" si="3"/>
        <v>1100303</v>
      </c>
      <c r="K4" s="400">
        <f t="shared" si="3"/>
        <v>1156682</v>
      </c>
      <c r="L4" s="400">
        <f t="shared" si="3"/>
        <v>1194984</v>
      </c>
      <c r="M4" s="400">
        <f t="shared" si="3"/>
        <v>1239653</v>
      </c>
      <c r="N4" s="400">
        <f t="shared" si="3"/>
        <v>1173562</v>
      </c>
    </row>
    <row r="5" spans="1:14" s="15" customFormat="1" ht="15" customHeight="1">
      <c r="A5" s="406" t="s">
        <v>247</v>
      </c>
      <c r="B5" s="406" t="s">
        <v>259</v>
      </c>
      <c r="C5" s="401">
        <v>250682</v>
      </c>
      <c r="D5" s="401">
        <v>262395</v>
      </c>
      <c r="E5" s="401">
        <v>273039</v>
      </c>
      <c r="F5" s="401">
        <v>280480</v>
      </c>
      <c r="G5" s="400">
        <f t="shared" si="3"/>
        <v>280304</v>
      </c>
      <c r="H5" s="400">
        <f t="shared" si="3"/>
        <v>293213</v>
      </c>
      <c r="I5" s="400">
        <f t="shared" si="3"/>
        <v>303386</v>
      </c>
      <c r="J5" s="400">
        <f t="shared" si="3"/>
        <v>355178</v>
      </c>
      <c r="K5" s="400">
        <f t="shared" si="3"/>
        <v>396264</v>
      </c>
      <c r="L5" s="400">
        <f t="shared" si="3"/>
        <v>407861</v>
      </c>
      <c r="M5" s="400">
        <f t="shared" si="3"/>
        <v>418730</v>
      </c>
      <c r="N5" s="400">
        <f t="shared" si="3"/>
        <v>423653</v>
      </c>
    </row>
    <row r="6" spans="1:14" ht="15" customHeight="1">
      <c r="A6" s="405" t="s">
        <v>663</v>
      </c>
      <c r="B6" s="405" t="s">
        <v>664</v>
      </c>
      <c r="C6" s="400">
        <v>161140</v>
      </c>
      <c r="D6" s="400">
        <v>162598</v>
      </c>
      <c r="E6" s="400">
        <v>169278</v>
      </c>
      <c r="F6" s="400">
        <v>167983</v>
      </c>
      <c r="G6" s="400">
        <f>G21+G26</f>
        <v>169101</v>
      </c>
      <c r="H6" s="400">
        <f t="shared" ref="H6:N6" si="4">H21+H26</f>
        <v>169183</v>
      </c>
      <c r="I6" s="400">
        <f t="shared" si="4"/>
        <v>192883</v>
      </c>
      <c r="J6" s="400">
        <f t="shared" si="4"/>
        <v>211727</v>
      </c>
      <c r="K6" s="400">
        <f t="shared" si="4"/>
        <v>228036</v>
      </c>
      <c r="L6" s="400">
        <f t="shared" si="4"/>
        <v>215282</v>
      </c>
      <c r="M6" s="400">
        <f t="shared" si="4"/>
        <v>203939</v>
      </c>
      <c r="N6" s="400">
        <f t="shared" si="4"/>
        <v>207409</v>
      </c>
    </row>
    <row r="7" spans="1:14" ht="15" customHeight="1">
      <c r="A7" s="405" t="s">
        <v>249</v>
      </c>
      <c r="B7" s="405" t="s">
        <v>261</v>
      </c>
      <c r="C7" s="400">
        <v>3093</v>
      </c>
      <c r="D7" s="400">
        <v>6082</v>
      </c>
      <c r="E7" s="400">
        <v>9178</v>
      </c>
      <c r="F7" s="400">
        <v>8989</v>
      </c>
      <c r="G7" s="400">
        <f>G15</f>
        <v>13653</v>
      </c>
      <c r="H7" s="400">
        <f t="shared" ref="H7:N7" si="5">H15</f>
        <v>15780</v>
      </c>
      <c r="I7" s="400">
        <f t="shared" si="5"/>
        <v>16818</v>
      </c>
      <c r="J7" s="400">
        <f t="shared" si="5"/>
        <v>26701</v>
      </c>
      <c r="K7" s="400">
        <f t="shared" si="5"/>
        <v>24615</v>
      </c>
      <c r="L7" s="400">
        <f t="shared" si="5"/>
        <v>25573</v>
      </c>
      <c r="M7" s="400">
        <f t="shared" si="5"/>
        <v>26866</v>
      </c>
      <c r="N7" s="400">
        <f t="shared" si="5"/>
        <v>17314</v>
      </c>
    </row>
    <row r="8" spans="1:14">
      <c r="A8" s="405" t="s">
        <v>62</v>
      </c>
      <c r="B8" s="405" t="s">
        <v>17</v>
      </c>
      <c r="C8" s="400">
        <v>15191</v>
      </c>
      <c r="D8" s="400">
        <v>16183</v>
      </c>
      <c r="E8" s="400">
        <v>16367</v>
      </c>
      <c r="F8" s="400">
        <v>16484</v>
      </c>
      <c r="G8" s="400">
        <f t="shared" ref="G8:N10" si="6">G16</f>
        <v>7691</v>
      </c>
      <c r="H8" s="400">
        <f t="shared" si="6"/>
        <v>8378</v>
      </c>
      <c r="I8" s="400">
        <f t="shared" si="6"/>
        <v>7816</v>
      </c>
      <c r="J8" s="400">
        <f t="shared" si="6"/>
        <v>11945</v>
      </c>
      <c r="K8" s="400">
        <f t="shared" si="6"/>
        <v>12821</v>
      </c>
      <c r="L8" s="400">
        <f t="shared" si="6"/>
        <v>12562</v>
      </c>
      <c r="M8" s="400">
        <f t="shared" si="6"/>
        <v>11057</v>
      </c>
      <c r="N8" s="400">
        <f t="shared" si="6"/>
        <v>11170</v>
      </c>
    </row>
    <row r="9" spans="1:14">
      <c r="A9" s="405" t="s">
        <v>248</v>
      </c>
      <c r="B9" s="405" t="s">
        <v>177</v>
      </c>
      <c r="C9" s="400">
        <v>1710</v>
      </c>
      <c r="D9" s="400">
        <v>1518</v>
      </c>
      <c r="E9" s="400">
        <v>1445</v>
      </c>
      <c r="F9" s="400">
        <v>1703</v>
      </c>
      <c r="G9" s="400">
        <f t="shared" si="6"/>
        <v>1974</v>
      </c>
      <c r="H9" s="400">
        <f t="shared" si="6"/>
        <v>1941</v>
      </c>
      <c r="I9" s="400">
        <f t="shared" si="6"/>
        <v>2796</v>
      </c>
      <c r="J9" s="400">
        <f t="shared" si="6"/>
        <v>3083</v>
      </c>
      <c r="K9" s="400">
        <f t="shared" si="6"/>
        <v>2762</v>
      </c>
      <c r="L9" s="400">
        <f t="shared" si="6"/>
        <v>2496</v>
      </c>
      <c r="M9" s="400">
        <f t="shared" si="6"/>
        <v>2448</v>
      </c>
      <c r="N9" s="400">
        <f t="shared" si="6"/>
        <v>2447</v>
      </c>
    </row>
    <row r="10" spans="1:14">
      <c r="A10" s="405" t="s">
        <v>250</v>
      </c>
      <c r="B10" s="405" t="s">
        <v>262</v>
      </c>
      <c r="C10" s="400">
        <v>65449</v>
      </c>
      <c r="D10" s="400">
        <v>59274</v>
      </c>
      <c r="E10" s="400">
        <v>54928</v>
      </c>
      <c r="F10" s="400">
        <v>51211</v>
      </c>
      <c r="G10" s="400">
        <f t="shared" si="6"/>
        <v>52121</v>
      </c>
      <c r="H10" s="400">
        <f t="shared" si="6"/>
        <v>51606</v>
      </c>
      <c r="I10" s="400">
        <f t="shared" si="6"/>
        <v>48316</v>
      </c>
      <c r="J10" s="400">
        <f t="shared" si="6"/>
        <v>49075</v>
      </c>
      <c r="K10" s="400">
        <f t="shared" si="6"/>
        <v>44267</v>
      </c>
      <c r="L10" s="400">
        <f t="shared" si="6"/>
        <v>42737</v>
      </c>
      <c r="M10" s="400">
        <f t="shared" si="6"/>
        <v>43325</v>
      </c>
      <c r="N10" s="400">
        <f t="shared" si="6"/>
        <v>39680</v>
      </c>
    </row>
    <row r="11" spans="1:14" s="22" customFormat="1" ht="28.5">
      <c r="A11" s="404" t="s">
        <v>119</v>
      </c>
      <c r="B11" s="404" t="s">
        <v>123</v>
      </c>
      <c r="C11" s="12">
        <f t="shared" ref="C11:N11" si="7">SUM(C12:C13,C15,C16:C18)</f>
        <v>0</v>
      </c>
      <c r="D11" s="12">
        <f t="shared" si="7"/>
        <v>0</v>
      </c>
      <c r="E11" s="12">
        <f t="shared" si="7"/>
        <v>0</v>
      </c>
      <c r="F11" s="12">
        <f t="shared" si="7"/>
        <v>0</v>
      </c>
      <c r="G11" s="12">
        <f t="shared" si="7"/>
        <v>1487943</v>
      </c>
      <c r="H11" s="12">
        <f t="shared" si="7"/>
        <v>1537794</v>
      </c>
      <c r="I11" s="12">
        <f t="shared" si="7"/>
        <v>1584506</v>
      </c>
      <c r="J11" s="12">
        <f t="shared" si="7"/>
        <v>1734889</v>
      </c>
      <c r="K11" s="12">
        <f t="shared" si="7"/>
        <v>1821282</v>
      </c>
      <c r="L11" s="12">
        <f t="shared" si="7"/>
        <v>1869671</v>
      </c>
      <c r="M11" s="12">
        <f t="shared" si="7"/>
        <v>1923854</v>
      </c>
      <c r="N11" s="12">
        <f t="shared" si="7"/>
        <v>1852731</v>
      </c>
    </row>
    <row r="12" spans="1:14" s="341" customFormat="1" ht="15" customHeight="1">
      <c r="A12" s="372" t="s">
        <v>658</v>
      </c>
      <c r="B12" s="372" t="s">
        <v>657</v>
      </c>
      <c r="C12" s="9">
        <v>0</v>
      </c>
      <c r="D12" s="9">
        <v>0</v>
      </c>
      <c r="E12" s="9">
        <v>0</v>
      </c>
      <c r="F12" s="9">
        <v>0</v>
      </c>
      <c r="G12" s="9">
        <v>495715</v>
      </c>
      <c r="H12" s="9">
        <v>511085</v>
      </c>
      <c r="I12" s="9">
        <v>534228</v>
      </c>
      <c r="J12" s="9">
        <v>575313</v>
      </c>
      <c r="K12" s="9">
        <v>607477</v>
      </c>
      <c r="L12" s="9">
        <v>617598</v>
      </c>
      <c r="M12" s="9">
        <v>627128</v>
      </c>
      <c r="N12" s="9">
        <v>634055</v>
      </c>
    </row>
    <row r="13" spans="1:14" s="341" customFormat="1">
      <c r="A13" s="372" t="s">
        <v>246</v>
      </c>
      <c r="B13" s="372" t="s">
        <v>175</v>
      </c>
      <c r="C13" s="9">
        <v>0</v>
      </c>
      <c r="D13" s="9">
        <v>0</v>
      </c>
      <c r="E13" s="9">
        <v>0</v>
      </c>
      <c r="F13" s="9">
        <v>0</v>
      </c>
      <c r="G13" s="9">
        <v>916789</v>
      </c>
      <c r="H13" s="9">
        <v>949004</v>
      </c>
      <c r="I13" s="9">
        <v>974532</v>
      </c>
      <c r="J13" s="9">
        <v>1068772</v>
      </c>
      <c r="K13" s="9">
        <v>1129340</v>
      </c>
      <c r="L13" s="9">
        <v>1168705</v>
      </c>
      <c r="M13" s="9">
        <v>1213030</v>
      </c>
      <c r="N13" s="9">
        <v>1148065</v>
      </c>
    </row>
    <row r="14" spans="1:14" s="402" customFormat="1">
      <c r="A14" s="406" t="s">
        <v>247</v>
      </c>
      <c r="B14" s="406" t="s">
        <v>259</v>
      </c>
      <c r="C14" s="9">
        <v>0</v>
      </c>
      <c r="D14" s="9">
        <v>0</v>
      </c>
      <c r="E14" s="9">
        <v>0</v>
      </c>
      <c r="F14" s="9">
        <v>0</v>
      </c>
      <c r="G14" s="9">
        <v>280304</v>
      </c>
      <c r="H14" s="9">
        <v>293213</v>
      </c>
      <c r="I14" s="9">
        <v>303386</v>
      </c>
      <c r="J14" s="9">
        <v>355178</v>
      </c>
      <c r="K14" s="9">
        <v>396264</v>
      </c>
      <c r="L14" s="9">
        <v>407861</v>
      </c>
      <c r="M14" s="9">
        <v>418730</v>
      </c>
      <c r="N14" s="9">
        <v>423653</v>
      </c>
    </row>
    <row r="15" spans="1:14" s="341" customFormat="1">
      <c r="A15" s="372" t="s">
        <v>249</v>
      </c>
      <c r="B15" s="372" t="s">
        <v>261</v>
      </c>
      <c r="C15" s="9">
        <v>0</v>
      </c>
      <c r="D15" s="9">
        <v>0</v>
      </c>
      <c r="E15" s="9">
        <v>0</v>
      </c>
      <c r="F15" s="9">
        <v>0</v>
      </c>
      <c r="G15" s="9">
        <v>13653</v>
      </c>
      <c r="H15" s="9">
        <v>15780</v>
      </c>
      <c r="I15" s="9">
        <v>16818</v>
      </c>
      <c r="J15" s="9">
        <v>26701</v>
      </c>
      <c r="K15" s="9">
        <v>24615</v>
      </c>
      <c r="L15" s="9">
        <v>25573</v>
      </c>
      <c r="M15" s="9">
        <v>26866</v>
      </c>
      <c r="N15" s="9">
        <v>17314</v>
      </c>
    </row>
    <row r="16" spans="1:14" s="341" customFormat="1">
      <c r="A16" s="372" t="s">
        <v>62</v>
      </c>
      <c r="B16" s="372" t="s">
        <v>17</v>
      </c>
      <c r="C16" s="9">
        <v>0</v>
      </c>
      <c r="D16" s="9">
        <v>0</v>
      </c>
      <c r="E16" s="9">
        <v>0</v>
      </c>
      <c r="F16" s="9">
        <v>0</v>
      </c>
      <c r="G16" s="9">
        <v>7691</v>
      </c>
      <c r="H16" s="9">
        <v>8378</v>
      </c>
      <c r="I16" s="9">
        <v>7816</v>
      </c>
      <c r="J16" s="9">
        <v>11945</v>
      </c>
      <c r="K16" s="9">
        <v>12821</v>
      </c>
      <c r="L16" s="9">
        <v>12562</v>
      </c>
      <c r="M16" s="9">
        <v>11057</v>
      </c>
      <c r="N16" s="9">
        <v>11170</v>
      </c>
    </row>
    <row r="17" spans="1:14" s="341" customFormat="1">
      <c r="A17" s="372" t="s">
        <v>248</v>
      </c>
      <c r="B17" s="372" t="s">
        <v>177</v>
      </c>
      <c r="C17" s="9">
        <v>0</v>
      </c>
      <c r="D17" s="9">
        <v>0</v>
      </c>
      <c r="E17" s="9">
        <v>0</v>
      </c>
      <c r="F17" s="9">
        <v>0</v>
      </c>
      <c r="G17" s="9">
        <v>1974</v>
      </c>
      <c r="H17" s="9">
        <v>1941</v>
      </c>
      <c r="I17" s="9">
        <v>2796</v>
      </c>
      <c r="J17" s="9">
        <v>3083</v>
      </c>
      <c r="K17" s="9">
        <v>2762</v>
      </c>
      <c r="L17" s="9">
        <v>2496</v>
      </c>
      <c r="M17" s="9">
        <v>2448</v>
      </c>
      <c r="N17" s="9">
        <v>2447</v>
      </c>
    </row>
    <row r="18" spans="1:14" s="341" customFormat="1">
      <c r="A18" s="372" t="s">
        <v>250</v>
      </c>
      <c r="B18" s="372" t="s">
        <v>262</v>
      </c>
      <c r="C18" s="9">
        <v>0</v>
      </c>
      <c r="D18" s="9">
        <v>0</v>
      </c>
      <c r="E18" s="9">
        <v>0</v>
      </c>
      <c r="F18" s="9">
        <v>0</v>
      </c>
      <c r="G18" s="9">
        <v>52121</v>
      </c>
      <c r="H18" s="9">
        <v>51606</v>
      </c>
      <c r="I18" s="9">
        <v>48316</v>
      </c>
      <c r="J18" s="9">
        <v>49075</v>
      </c>
      <c r="K18" s="9">
        <v>44267</v>
      </c>
      <c r="L18" s="9">
        <v>42737</v>
      </c>
      <c r="M18" s="9">
        <v>43325</v>
      </c>
      <c r="N18" s="9">
        <v>39680</v>
      </c>
    </row>
    <row r="19" spans="1:14" s="403" customFormat="1" ht="42.75">
      <c r="A19" s="404" t="s">
        <v>251</v>
      </c>
      <c r="B19" s="404" t="s">
        <v>124</v>
      </c>
      <c r="C19" s="12">
        <f t="shared" ref="C19:J19" si="8">SUM(C20:C21)</f>
        <v>0</v>
      </c>
      <c r="D19" s="12">
        <f t="shared" si="8"/>
        <v>0</v>
      </c>
      <c r="E19" s="12">
        <f t="shared" si="8"/>
        <v>0</v>
      </c>
      <c r="F19" s="12">
        <f t="shared" si="8"/>
        <v>0</v>
      </c>
      <c r="G19" s="12">
        <f t="shared" si="8"/>
        <v>163239</v>
      </c>
      <c r="H19" s="12">
        <f t="shared" si="8"/>
        <v>174832</v>
      </c>
      <c r="I19" s="12">
        <f t="shared" si="8"/>
        <v>189226</v>
      </c>
      <c r="J19" s="12">
        <f t="shared" si="8"/>
        <v>206081</v>
      </c>
      <c r="K19" s="12">
        <f>SUM(K20:K21)</f>
        <v>209674</v>
      </c>
      <c r="L19" s="12">
        <f>SUM(L20:L21)</f>
        <v>199210</v>
      </c>
      <c r="M19" s="12">
        <f>SUM(M20:M21)</f>
        <v>209193</v>
      </c>
      <c r="N19" s="12">
        <f>SUM(N20:N21)</f>
        <v>215747</v>
      </c>
    </row>
    <row r="20" spans="1:14" s="341" customFormat="1">
      <c r="A20" s="372" t="s">
        <v>245</v>
      </c>
      <c r="B20" s="372" t="s">
        <v>173</v>
      </c>
      <c r="C20" s="9">
        <v>0</v>
      </c>
      <c r="D20" s="9">
        <v>0</v>
      </c>
      <c r="E20" s="9">
        <v>0</v>
      </c>
      <c r="F20" s="9">
        <v>0</v>
      </c>
      <c r="G20" s="9">
        <v>0</v>
      </c>
      <c r="H20" s="9">
        <v>0</v>
      </c>
      <c r="I20" s="9">
        <v>0</v>
      </c>
      <c r="J20" s="9">
        <v>4179</v>
      </c>
      <c r="K20" s="9">
        <v>4538</v>
      </c>
      <c r="L20" s="9">
        <v>4707</v>
      </c>
      <c r="M20" s="9">
        <v>11223</v>
      </c>
      <c r="N20" s="9">
        <v>11553</v>
      </c>
    </row>
    <row r="21" spans="1:14" s="341" customFormat="1">
      <c r="A21" s="407" t="s">
        <v>663</v>
      </c>
      <c r="B21" s="372" t="s">
        <v>664</v>
      </c>
      <c r="C21" s="9">
        <v>0</v>
      </c>
      <c r="D21" s="9">
        <v>0</v>
      </c>
      <c r="E21" s="9">
        <v>0</v>
      </c>
      <c r="F21" s="9">
        <v>0</v>
      </c>
      <c r="G21" s="9">
        <v>163239</v>
      </c>
      <c r="H21" s="9">
        <v>174832</v>
      </c>
      <c r="I21" s="9">
        <v>189226</v>
      </c>
      <c r="J21" s="9">
        <v>201902</v>
      </c>
      <c r="K21" s="9">
        <v>205136</v>
      </c>
      <c r="L21" s="9">
        <v>194503</v>
      </c>
      <c r="M21" s="9">
        <v>197970</v>
      </c>
      <c r="N21" s="9">
        <v>204194</v>
      </c>
    </row>
    <row r="22" spans="1:14" s="22" customFormat="1" ht="42.75">
      <c r="A22" s="404" t="s">
        <v>121</v>
      </c>
      <c r="B22" s="404" t="s">
        <v>122</v>
      </c>
      <c r="C22" s="12">
        <f t="shared" ref="C22:J22" si="9">SUM(C23:C24,C26)</f>
        <v>0</v>
      </c>
      <c r="D22" s="12">
        <f t="shared" si="9"/>
        <v>0</v>
      </c>
      <c r="E22" s="12">
        <f t="shared" si="9"/>
        <v>0</v>
      </c>
      <c r="F22" s="12">
        <f t="shared" si="9"/>
        <v>0</v>
      </c>
      <c r="G22" s="12">
        <f t="shared" si="9"/>
        <v>37319</v>
      </c>
      <c r="H22" s="12">
        <f t="shared" si="9"/>
        <v>24117</v>
      </c>
      <c r="I22" s="12">
        <f t="shared" si="9"/>
        <v>31977</v>
      </c>
      <c r="J22" s="12">
        <f t="shared" si="9"/>
        <v>41873</v>
      </c>
      <c r="K22" s="12">
        <f>SUM(K23:K24,K26)</f>
        <v>50743</v>
      </c>
      <c r="L22" s="12">
        <f>SUM(L23:L24,L26)</f>
        <v>47568</v>
      </c>
      <c r="M22" s="12">
        <f>SUM(M23:M24,M26)</f>
        <v>33109</v>
      </c>
      <c r="N22" s="12">
        <f>SUM(N23:N24,N26)</f>
        <v>29054</v>
      </c>
    </row>
    <row r="23" spans="1:14">
      <c r="A23" s="372" t="s">
        <v>245</v>
      </c>
      <c r="B23" s="372" t="s">
        <v>173</v>
      </c>
      <c r="C23" s="9">
        <v>0</v>
      </c>
      <c r="D23" s="9">
        <v>0</v>
      </c>
      <c r="E23" s="9">
        <v>0</v>
      </c>
      <c r="F23" s="9">
        <v>0</v>
      </c>
      <c r="G23" s="9">
        <v>501</v>
      </c>
      <c r="H23" s="9">
        <v>510</v>
      </c>
      <c r="I23" s="9">
        <v>509</v>
      </c>
      <c r="J23" s="9">
        <v>517</v>
      </c>
      <c r="K23" s="9">
        <v>501</v>
      </c>
      <c r="L23" s="9">
        <v>510</v>
      </c>
      <c r="M23" s="9">
        <v>517</v>
      </c>
      <c r="N23" s="9">
        <v>342</v>
      </c>
    </row>
    <row r="24" spans="1:14">
      <c r="A24" s="372" t="s">
        <v>246</v>
      </c>
      <c r="B24" s="372" t="s">
        <v>175</v>
      </c>
      <c r="C24" s="9">
        <v>0</v>
      </c>
      <c r="D24" s="9">
        <v>0</v>
      </c>
      <c r="E24" s="9">
        <v>0</v>
      </c>
      <c r="F24" s="9">
        <v>0</v>
      </c>
      <c r="G24" s="9">
        <v>30956</v>
      </c>
      <c r="H24" s="9">
        <v>29256</v>
      </c>
      <c r="I24" s="9">
        <v>27811</v>
      </c>
      <c r="J24" s="9">
        <v>31531</v>
      </c>
      <c r="K24" s="9">
        <v>27342</v>
      </c>
      <c r="L24" s="9">
        <v>26279</v>
      </c>
      <c r="M24" s="9">
        <v>26623</v>
      </c>
      <c r="N24" s="9">
        <v>25497</v>
      </c>
    </row>
    <row r="25" spans="1:14" s="15" customFormat="1">
      <c r="A25" s="406" t="s">
        <v>247</v>
      </c>
      <c r="B25" s="406" t="s">
        <v>259</v>
      </c>
      <c r="C25" s="14">
        <v>0</v>
      </c>
      <c r="D25" s="14">
        <v>0</v>
      </c>
      <c r="E25" s="14">
        <v>0</v>
      </c>
      <c r="F25" s="14">
        <v>0</v>
      </c>
      <c r="G25" s="14">
        <v>0</v>
      </c>
      <c r="H25" s="14">
        <v>0</v>
      </c>
      <c r="I25" s="14">
        <v>0</v>
      </c>
      <c r="J25" s="14">
        <v>0</v>
      </c>
      <c r="K25" s="14">
        <v>0</v>
      </c>
      <c r="L25" s="14">
        <v>0</v>
      </c>
      <c r="M25" s="14">
        <v>0</v>
      </c>
      <c r="N25" s="14">
        <v>0</v>
      </c>
    </row>
    <row r="26" spans="1:14">
      <c r="A26" s="407" t="s">
        <v>663</v>
      </c>
      <c r="B26" s="372" t="s">
        <v>521</v>
      </c>
      <c r="C26" s="9">
        <v>0</v>
      </c>
      <c r="D26" s="9">
        <v>0</v>
      </c>
      <c r="E26" s="9">
        <v>0</v>
      </c>
      <c r="F26" s="9">
        <v>0</v>
      </c>
      <c r="G26" s="9">
        <v>5862</v>
      </c>
      <c r="H26" s="9">
        <v>-5649</v>
      </c>
      <c r="I26" s="9">
        <v>3657</v>
      </c>
      <c r="J26" s="9">
        <v>9825</v>
      </c>
      <c r="K26" s="9">
        <v>22900</v>
      </c>
      <c r="L26" s="9">
        <v>20779</v>
      </c>
      <c r="M26" s="9">
        <v>5969</v>
      </c>
      <c r="N26" s="9">
        <v>3215</v>
      </c>
    </row>
    <row r="27" spans="1:14" s="22" customFormat="1">
      <c r="A27" s="404" t="s">
        <v>252</v>
      </c>
      <c r="B27" s="404" t="s">
        <v>256</v>
      </c>
      <c r="C27" s="12">
        <f t="shared" ref="C27:J27" si="10">SUM(C28:C34)</f>
        <v>-305806</v>
      </c>
      <c r="D27" s="12">
        <f t="shared" si="10"/>
        <v>-318481</v>
      </c>
      <c r="E27" s="12">
        <f t="shared" si="10"/>
        <v>-322842</v>
      </c>
      <c r="F27" s="12">
        <f t="shared" si="10"/>
        <v>-305281</v>
      </c>
      <c r="G27" s="12">
        <f>SUM(G28:G34)-1</f>
        <v>-298675</v>
      </c>
      <c r="H27" s="12">
        <f t="shared" si="10"/>
        <v>-340536</v>
      </c>
      <c r="I27" s="12">
        <f t="shared" si="10"/>
        <v>-383490</v>
      </c>
      <c r="J27" s="12">
        <f t="shared" si="10"/>
        <v>-448690</v>
      </c>
      <c r="K27" s="12">
        <f>SUM(K28:K34)</f>
        <v>-473099</v>
      </c>
      <c r="L27" s="12">
        <f>SUM(L28:L34)</f>
        <v>-492917</v>
      </c>
      <c r="M27" s="12">
        <f>SUM(M28:M34)</f>
        <v>-465122</v>
      </c>
      <c r="N27" s="12">
        <f>SUM(N28:N34)</f>
        <v>-450529</v>
      </c>
    </row>
    <row r="28" spans="1:14">
      <c r="A28" s="372" t="s">
        <v>649</v>
      </c>
      <c r="B28" s="372" t="s">
        <v>653</v>
      </c>
      <c r="C28" s="9">
        <v>-140425</v>
      </c>
      <c r="D28" s="9">
        <v>-145984</v>
      </c>
      <c r="E28" s="9">
        <v>-142184</v>
      </c>
      <c r="F28" s="9">
        <v>-129467</v>
      </c>
      <c r="G28" s="9">
        <v>-118894</v>
      </c>
      <c r="H28" s="9">
        <v>-140819</v>
      </c>
      <c r="I28" s="9">
        <v>-163782</v>
      </c>
      <c r="J28" s="9">
        <v>-205129</v>
      </c>
      <c r="K28" s="9">
        <v>-223733</v>
      </c>
      <c r="L28" s="9">
        <v>-231345</v>
      </c>
      <c r="M28" s="9">
        <v>-198159</v>
      </c>
      <c r="N28" s="9">
        <v>-195265</v>
      </c>
    </row>
    <row r="29" spans="1:14">
      <c r="A29" s="372" t="s">
        <v>650</v>
      </c>
      <c r="B29" s="372" t="s">
        <v>654</v>
      </c>
      <c r="C29" s="9">
        <v>-89816</v>
      </c>
      <c r="D29" s="9">
        <v>-82836</v>
      </c>
      <c r="E29" s="9">
        <v>-85502</v>
      </c>
      <c r="F29" s="9">
        <v>-84026</v>
      </c>
      <c r="G29" s="9">
        <v>-84594</v>
      </c>
      <c r="H29" s="9">
        <v>-94367</v>
      </c>
      <c r="I29" s="9">
        <v>-108436</v>
      </c>
      <c r="J29" s="9">
        <v>-118752</v>
      </c>
      <c r="K29" s="9">
        <v>-120991</v>
      </c>
      <c r="L29" s="9">
        <v>-122607</v>
      </c>
      <c r="M29" s="9">
        <v>-135182</v>
      </c>
      <c r="N29" s="9">
        <v>-136753</v>
      </c>
    </row>
    <row r="30" spans="1:14" ht="28.5">
      <c r="A30" s="372" t="s">
        <v>253</v>
      </c>
      <c r="B30" s="372" t="s">
        <v>257</v>
      </c>
      <c r="C30" s="9">
        <v>-7225</v>
      </c>
      <c r="D30" s="9">
        <v>-14282</v>
      </c>
      <c r="E30" s="9">
        <v>-19250</v>
      </c>
      <c r="F30" s="9">
        <v>-13610</v>
      </c>
      <c r="G30" s="9">
        <v>-17746</v>
      </c>
      <c r="H30" s="9">
        <v>-17766</v>
      </c>
      <c r="I30" s="9">
        <v>-18853</v>
      </c>
      <c r="J30" s="9">
        <v>-27315</v>
      </c>
      <c r="K30" s="9">
        <v>-29378</v>
      </c>
      <c r="L30" s="9">
        <v>-33560</v>
      </c>
      <c r="M30" s="9">
        <v>-23616</v>
      </c>
      <c r="N30" s="9">
        <v>-10051</v>
      </c>
    </row>
    <row r="31" spans="1:14">
      <c r="A31" s="372" t="s">
        <v>651</v>
      </c>
      <c r="B31" s="372" t="s">
        <v>655</v>
      </c>
      <c r="C31" s="9">
        <v>-10913</v>
      </c>
      <c r="D31" s="9">
        <v>-14626</v>
      </c>
      <c r="E31" s="9">
        <v>-14428</v>
      </c>
      <c r="F31" s="9">
        <v>-14094</v>
      </c>
      <c r="G31" s="9">
        <v>-13305</v>
      </c>
      <c r="H31" s="9">
        <v>-16044</v>
      </c>
      <c r="I31" s="9">
        <v>-13544</v>
      </c>
      <c r="J31" s="9">
        <v>-12208</v>
      </c>
      <c r="K31" s="9">
        <v>-12924</v>
      </c>
      <c r="L31" s="9">
        <v>-15138</v>
      </c>
      <c r="M31" s="9">
        <v>-15278</v>
      </c>
      <c r="N31" s="9">
        <v>-14709</v>
      </c>
    </row>
    <row r="32" spans="1:14">
      <c r="A32" s="372" t="s">
        <v>652</v>
      </c>
      <c r="B32" s="372" t="s">
        <v>656</v>
      </c>
      <c r="C32" s="9">
        <v>-12773</v>
      </c>
      <c r="D32" s="9">
        <v>-11739</v>
      </c>
      <c r="E32" s="9">
        <v>-10384</v>
      </c>
      <c r="F32" s="9">
        <v>-11749</v>
      </c>
      <c r="G32" s="9">
        <v>-13262</v>
      </c>
      <c r="H32" s="9">
        <v>-9675</v>
      </c>
      <c r="I32" s="9">
        <v>-14232</v>
      </c>
      <c r="J32" s="9">
        <v>-16187</v>
      </c>
      <c r="K32" s="9">
        <v>-14066</v>
      </c>
      <c r="L32" s="9">
        <v>-17696</v>
      </c>
      <c r="M32" s="9">
        <v>-18754</v>
      </c>
      <c r="N32" s="9">
        <v>-19905</v>
      </c>
    </row>
    <row r="33" spans="1:14">
      <c r="A33" s="372" t="s">
        <v>254</v>
      </c>
      <c r="B33" s="372" t="s">
        <v>159</v>
      </c>
      <c r="C33" s="9">
        <v>0</v>
      </c>
      <c r="D33" s="9">
        <v>0</v>
      </c>
      <c r="E33" s="9">
        <v>0</v>
      </c>
      <c r="F33" s="9">
        <v>0</v>
      </c>
      <c r="G33" s="9">
        <v>0</v>
      </c>
      <c r="H33" s="9">
        <v>0</v>
      </c>
      <c r="I33" s="9">
        <v>0</v>
      </c>
      <c r="J33" s="9"/>
      <c r="K33" s="9">
        <v>-4480</v>
      </c>
      <c r="L33" s="9">
        <v>-6272</v>
      </c>
      <c r="M33" s="9">
        <v>-5507</v>
      </c>
      <c r="N33" s="9">
        <v>-5339</v>
      </c>
    </row>
    <row r="34" spans="1:14" ht="28.5">
      <c r="A34" s="372" t="s">
        <v>255</v>
      </c>
      <c r="B34" s="372" t="s">
        <v>258</v>
      </c>
      <c r="C34" s="9">
        <v>-44654</v>
      </c>
      <c r="D34" s="9">
        <v>-49014</v>
      </c>
      <c r="E34" s="9">
        <v>-51094</v>
      </c>
      <c r="F34" s="9">
        <v>-52335</v>
      </c>
      <c r="G34" s="9">
        <v>-50873</v>
      </c>
      <c r="H34" s="9">
        <v>-61865</v>
      </c>
      <c r="I34" s="9">
        <v>-64643</v>
      </c>
      <c r="J34" s="9">
        <v>-69099</v>
      </c>
      <c r="K34" s="9">
        <v>-67527</v>
      </c>
      <c r="L34" s="9">
        <v>-66299</v>
      </c>
      <c r="M34" s="9">
        <v>-68626</v>
      </c>
      <c r="N34" s="9">
        <v>-68507</v>
      </c>
    </row>
    <row r="35" spans="1:14" s="22" customFormat="1">
      <c r="A35" s="408" t="s">
        <v>89</v>
      </c>
      <c r="B35" s="408" t="s">
        <v>1</v>
      </c>
      <c r="C35" s="270">
        <f t="shared" ref="C35:N35" si="11">C2+C27</f>
        <v>1253996</v>
      </c>
      <c r="D35" s="270">
        <f t="shared" si="11"/>
        <v>1302487</v>
      </c>
      <c r="E35" s="270">
        <f t="shared" si="11"/>
        <v>1340966</v>
      </c>
      <c r="F35" s="270">
        <f t="shared" si="11"/>
        <v>1379448</v>
      </c>
      <c r="G35" s="270">
        <f t="shared" si="11"/>
        <v>1389826</v>
      </c>
      <c r="H35" s="270">
        <f t="shared" si="11"/>
        <v>1396207</v>
      </c>
      <c r="I35" s="270">
        <f t="shared" si="11"/>
        <v>1422219</v>
      </c>
      <c r="J35" s="270">
        <f t="shared" si="11"/>
        <v>1534153</v>
      </c>
      <c r="K35" s="270">
        <f t="shared" si="11"/>
        <v>1608600</v>
      </c>
      <c r="L35" s="270">
        <f t="shared" si="11"/>
        <v>1623532</v>
      </c>
      <c r="M35" s="270">
        <f t="shared" si="11"/>
        <v>1701034</v>
      </c>
      <c r="N35" s="270">
        <f t="shared" si="11"/>
        <v>1647003</v>
      </c>
    </row>
    <row r="37" spans="1:14">
      <c r="C37" s="428"/>
      <c r="D37" s="428"/>
      <c r="E37" s="428"/>
      <c r="F37" s="428"/>
      <c r="G37" s="428"/>
      <c r="H37" s="428"/>
      <c r="I37" s="428"/>
      <c r="J37" s="428"/>
      <c r="K37" s="428"/>
      <c r="L37" s="428"/>
      <c r="M37" s="428"/>
      <c r="N37" s="428"/>
    </row>
    <row r="38" spans="1:14">
      <c r="G38" s="360"/>
      <c r="H38" s="360"/>
      <c r="I38" s="360"/>
      <c r="J38" s="360"/>
      <c r="K38" s="360"/>
      <c r="L38" s="360"/>
      <c r="M38" s="360"/>
      <c r="N38" s="360"/>
    </row>
    <row r="39" spans="1:14">
      <c r="G39" s="360"/>
      <c r="H39" s="360"/>
      <c r="I39" s="360"/>
      <c r="J39" s="360"/>
      <c r="K39" s="360"/>
      <c r="L39" s="360"/>
      <c r="M39" s="360"/>
      <c r="N39" s="360"/>
    </row>
    <row r="40" spans="1:14">
      <c r="G40" s="360"/>
      <c r="H40" s="360"/>
      <c r="I40" s="360"/>
      <c r="J40" s="360"/>
      <c r="K40" s="360"/>
      <c r="L40" s="360"/>
      <c r="M40" s="360"/>
      <c r="N40" s="360"/>
    </row>
    <row r="41" spans="1:14">
      <c r="C41" s="360"/>
      <c r="D41" s="360"/>
      <c r="E41" s="360"/>
      <c r="F41" s="360"/>
      <c r="G41" s="360"/>
      <c r="H41" s="360"/>
      <c r="I41" s="360"/>
      <c r="J41" s="360"/>
      <c r="K41" s="360"/>
      <c r="L41" s="360"/>
      <c r="M41" s="360"/>
      <c r="N41" s="360"/>
    </row>
  </sheetData>
  <customSheetViews>
    <customSheetView guid="{25FAB884-5E17-4008-8139-33D910C7DEFE}">
      <selection activeCell="H19" sqref="H19"/>
      <pageMargins left="0.7" right="0.7" top="0.75" bottom="0.75" header="0.3" footer="0.3"/>
    </customSheetView>
    <customSheetView guid="{8DA78CF1-615A-4626-9893-6751995631A4}" scale="82">
      <pane xSplit="2" ySplit="1" topLeftCell="C8" activePane="bottomRight" state="frozen"/>
      <selection pane="bottomRight" activeCell="O2" sqref="O2:O35"/>
      <pageMargins left="0.7" right="0.7" top="0.75" bottom="0.75" header="0.3" footer="0.3"/>
      <pageSetup paperSize="9" orientation="portrait" r:id="rId1"/>
    </customSheetView>
    <customSheetView guid="{687A4863-1825-4D63-B732-E76682E6DE4F}" scale="66">
      <selection activeCell="B56" sqref="B56"/>
      <pageMargins left="0.7" right="0.7" top="0.75" bottom="0.75" header="0.3" footer="0.3"/>
    </customSheetView>
    <customSheetView guid="{899D69CD-4B7E-42BC-9944-5BD922EB798C}">
      <selection activeCell="C58" sqref="C58"/>
      <pageMargins left="0.7" right="0.7" top="0.75" bottom="0.75" header="0.3" footer="0.3"/>
    </customSheetView>
    <customSheetView guid="{9AF4A83C-CF57-4B40-8A74-6A0EA6C2FE5C}">
      <pane xSplit="2" ySplit="1" topLeftCell="C35" activePane="bottomRight" state="frozen"/>
      <selection pane="bottomRight" activeCell="C58" sqref="C58"/>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12F8D032-8143-430B-8DFF-852E8796C402}">
      <selection activeCell="C16" sqref="C1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topLeftCell="A22" zoomScale="96" zoomScaleNormal="118" workbookViewId="0">
      <selection activeCell="B76" sqref="B76"/>
    </sheetView>
  </sheetViews>
  <sheetFormatPr defaultColWidth="9.140625" defaultRowHeight="12" customHeight="1"/>
  <cols>
    <col min="1" max="2" width="50.7109375" style="6" customWidth="1"/>
    <col min="3" max="10" width="13.42578125" style="6" customWidth="1"/>
    <col min="11" max="11" width="13.42578125" style="341" customWidth="1"/>
    <col min="12" max="14" width="13.42578125" style="6" customWidth="1"/>
    <col min="15" max="16" width="10.7109375" style="6" customWidth="1"/>
    <col min="17" max="17" width="12.85546875" style="6" bestFit="1" customWidth="1"/>
    <col min="18" max="16384" width="9.140625" style="6"/>
  </cols>
  <sheetData>
    <row r="1" spans="1:15" ht="15" customHeight="1" thickBot="1">
      <c r="C1" s="409"/>
      <c r="D1" s="409"/>
      <c r="E1" s="409"/>
      <c r="F1" s="409"/>
      <c r="G1" s="409"/>
      <c r="H1" s="409"/>
      <c r="I1" s="409"/>
      <c r="J1" s="409"/>
      <c r="K1" s="409"/>
      <c r="L1" s="409"/>
      <c r="M1" s="409"/>
      <c r="N1" s="409"/>
    </row>
    <row r="2" spans="1:15" ht="15" customHeight="1" thickBot="1">
      <c r="A2" s="396" t="s">
        <v>90</v>
      </c>
      <c r="B2" s="396" t="s">
        <v>2</v>
      </c>
      <c r="C2" s="409" t="s">
        <v>189</v>
      </c>
      <c r="D2" s="409" t="s">
        <v>190</v>
      </c>
      <c r="E2" s="409" t="s">
        <v>191</v>
      </c>
      <c r="F2" s="409" t="s">
        <v>192</v>
      </c>
      <c r="G2" s="409" t="s">
        <v>193</v>
      </c>
      <c r="H2" s="409" t="s">
        <v>194</v>
      </c>
      <c r="I2" s="409" t="s">
        <v>195</v>
      </c>
      <c r="J2" s="409" t="s">
        <v>196</v>
      </c>
      <c r="K2" s="409" t="s">
        <v>197</v>
      </c>
      <c r="L2" s="409" t="s">
        <v>198</v>
      </c>
      <c r="M2" s="409" t="s">
        <v>633</v>
      </c>
      <c r="N2" s="409" t="s">
        <v>644</v>
      </c>
    </row>
    <row r="3" spans="1:15" ht="15" customHeight="1">
      <c r="A3" s="410" t="s">
        <v>199</v>
      </c>
      <c r="B3" s="410" t="s">
        <v>200</v>
      </c>
      <c r="C3" s="411">
        <v>83361</v>
      </c>
      <c r="D3" s="411">
        <v>85518</v>
      </c>
      <c r="E3" s="411">
        <v>83848</v>
      </c>
      <c r="F3" s="411">
        <v>85579</v>
      </c>
      <c r="G3" s="411">
        <v>81499</v>
      </c>
      <c r="H3" s="411">
        <v>80399</v>
      </c>
      <c r="I3" s="411">
        <v>78480</v>
      </c>
      <c r="J3" s="411">
        <v>82879</v>
      </c>
      <c r="K3" s="411">
        <v>81089</v>
      </c>
      <c r="L3" s="411">
        <v>81656</v>
      </c>
      <c r="M3" s="411">
        <v>82570</v>
      </c>
      <c r="N3" s="411">
        <v>81656</v>
      </c>
      <c r="O3" s="360"/>
    </row>
    <row r="4" spans="1:15" ht="15" customHeight="1">
      <c r="A4" s="412" t="s">
        <v>613</v>
      </c>
      <c r="B4" s="412" t="s">
        <v>614</v>
      </c>
      <c r="C4" s="411">
        <f>72258+5982</f>
        <v>78240</v>
      </c>
      <c r="D4" s="411">
        <f>77780+4018</f>
        <v>81798</v>
      </c>
      <c r="E4" s="411">
        <f>82910+4224</f>
        <v>87134</v>
      </c>
      <c r="F4" s="411">
        <f>83177+6015</f>
        <v>89192</v>
      </c>
      <c r="G4" s="411">
        <f>80684+3733</f>
        <v>84417</v>
      </c>
      <c r="H4" s="411">
        <f>91124+3777</f>
        <v>94901</v>
      </c>
      <c r="I4" s="411">
        <f>90513+4213</f>
        <v>94726</v>
      </c>
      <c r="J4" s="411">
        <f>104858+5981</f>
        <v>110839</v>
      </c>
      <c r="K4" s="411">
        <f>96816+3890</f>
        <v>100706</v>
      </c>
      <c r="L4" s="411">
        <v>99012</v>
      </c>
      <c r="M4" s="411">
        <v>102697</v>
      </c>
      <c r="N4" s="411">
        <v>122720</v>
      </c>
      <c r="O4" s="360"/>
    </row>
    <row r="5" spans="1:15" ht="15" customHeight="1">
      <c r="A5" s="410" t="s">
        <v>201</v>
      </c>
      <c r="B5" s="410" t="s">
        <v>202</v>
      </c>
      <c r="C5" s="411">
        <v>12788</v>
      </c>
      <c r="D5" s="411">
        <v>11831</v>
      </c>
      <c r="E5" s="411">
        <v>16345</v>
      </c>
      <c r="F5" s="411">
        <v>19339</v>
      </c>
      <c r="G5" s="411">
        <v>14821</v>
      </c>
      <c r="H5" s="411">
        <v>14935</v>
      </c>
      <c r="I5" s="411">
        <v>14740</v>
      </c>
      <c r="J5" s="411">
        <v>26026</v>
      </c>
      <c r="K5" s="411">
        <v>17391</v>
      </c>
      <c r="L5" s="411">
        <v>16853</v>
      </c>
      <c r="M5" s="411">
        <v>17837</v>
      </c>
      <c r="N5" s="411">
        <v>20337</v>
      </c>
      <c r="O5" s="360"/>
    </row>
    <row r="6" spans="1:15" ht="15" customHeight="1">
      <c r="A6" s="410" t="s">
        <v>203</v>
      </c>
      <c r="B6" s="410" t="s">
        <v>204</v>
      </c>
      <c r="C6" s="411">
        <v>78131</v>
      </c>
      <c r="D6" s="411">
        <v>84907</v>
      </c>
      <c r="E6" s="411">
        <v>91823</v>
      </c>
      <c r="F6" s="411">
        <v>91195</v>
      </c>
      <c r="G6" s="411">
        <v>89091</v>
      </c>
      <c r="H6" s="411">
        <v>100549</v>
      </c>
      <c r="I6" s="411">
        <v>96500</v>
      </c>
      <c r="J6" s="411">
        <v>109843</v>
      </c>
      <c r="K6" s="411">
        <v>106851</v>
      </c>
      <c r="L6" s="411">
        <v>113794</v>
      </c>
      <c r="M6" s="411">
        <v>111614</v>
      </c>
      <c r="N6" s="411">
        <v>110458</v>
      </c>
      <c r="O6" s="360"/>
    </row>
    <row r="7" spans="1:15" ht="15" customHeight="1">
      <c r="A7" s="410" t="s">
        <v>205</v>
      </c>
      <c r="B7" s="410" t="s">
        <v>206</v>
      </c>
      <c r="C7" s="411">
        <v>127034</v>
      </c>
      <c r="D7" s="411">
        <v>132475</v>
      </c>
      <c r="E7" s="411">
        <v>162421</v>
      </c>
      <c r="F7" s="411">
        <v>155065</v>
      </c>
      <c r="G7" s="411">
        <v>133257</v>
      </c>
      <c r="H7" s="411">
        <v>155297</v>
      </c>
      <c r="I7" s="411">
        <v>136358</v>
      </c>
      <c r="J7" s="411">
        <v>149784</v>
      </c>
      <c r="K7" s="411">
        <v>135129</v>
      </c>
      <c r="L7" s="411">
        <v>155393</v>
      </c>
      <c r="M7" s="411">
        <v>143895</v>
      </c>
      <c r="N7" s="411">
        <v>141362</v>
      </c>
      <c r="O7" s="360"/>
    </row>
    <row r="8" spans="1:15" ht="15" customHeight="1">
      <c r="A8" s="410" t="s">
        <v>207</v>
      </c>
      <c r="B8" s="410" t="s">
        <v>208</v>
      </c>
      <c r="C8" s="411">
        <v>68751</v>
      </c>
      <c r="D8" s="411">
        <v>71455</v>
      </c>
      <c r="E8" s="411">
        <v>101339</v>
      </c>
      <c r="F8" s="411">
        <v>88892</v>
      </c>
      <c r="G8" s="411">
        <v>73537</v>
      </c>
      <c r="H8" s="411">
        <v>95008</v>
      </c>
      <c r="I8" s="411">
        <v>74282</v>
      </c>
      <c r="J8" s="411">
        <v>86594</v>
      </c>
      <c r="K8" s="411">
        <v>76340</v>
      </c>
      <c r="L8" s="411">
        <v>95744</v>
      </c>
      <c r="M8" s="411">
        <v>83041</v>
      </c>
      <c r="N8" s="411">
        <v>81846</v>
      </c>
      <c r="O8" s="360"/>
    </row>
    <row r="9" spans="1:15" ht="15" customHeight="1">
      <c r="A9" s="410" t="s">
        <v>209</v>
      </c>
      <c r="B9" s="410" t="s">
        <v>210</v>
      </c>
      <c r="C9" s="411">
        <v>40029</v>
      </c>
      <c r="D9" s="411">
        <v>42160</v>
      </c>
      <c r="E9" s="411">
        <v>42806</v>
      </c>
      <c r="F9" s="411">
        <v>44553</v>
      </c>
      <c r="G9" s="411">
        <v>43118</v>
      </c>
      <c r="H9" s="411">
        <v>42142</v>
      </c>
      <c r="I9" s="411">
        <v>42153</v>
      </c>
      <c r="J9" s="411">
        <v>46848</v>
      </c>
      <c r="K9" s="411">
        <v>44401</v>
      </c>
      <c r="L9" s="411">
        <v>45249</v>
      </c>
      <c r="M9" s="411">
        <v>46451</v>
      </c>
      <c r="N9" s="411">
        <v>49578</v>
      </c>
      <c r="O9" s="360"/>
    </row>
    <row r="10" spans="1:15" ht="15" customHeight="1">
      <c r="A10" s="410" t="s">
        <v>56</v>
      </c>
      <c r="B10" s="410" t="s">
        <v>44</v>
      </c>
      <c r="C10" s="411">
        <v>3856</v>
      </c>
      <c r="D10" s="411">
        <v>3042</v>
      </c>
      <c r="E10" s="411">
        <v>1626</v>
      </c>
      <c r="F10" s="411">
        <v>1206</v>
      </c>
      <c r="G10" s="411">
        <v>863</v>
      </c>
      <c r="H10" s="411">
        <v>683</v>
      </c>
      <c r="I10" s="411">
        <v>272</v>
      </c>
      <c r="J10" s="411">
        <v>2973</v>
      </c>
      <c r="K10" s="411">
        <v>1713</v>
      </c>
      <c r="L10" s="411">
        <v>1439</v>
      </c>
      <c r="M10" s="411">
        <v>1390</v>
      </c>
      <c r="N10" s="411">
        <v>16407</v>
      </c>
      <c r="O10" s="360"/>
    </row>
    <row r="11" spans="1:15" ht="15" customHeight="1">
      <c r="A11" s="410" t="s">
        <v>211</v>
      </c>
      <c r="B11" s="410" t="s">
        <v>212</v>
      </c>
      <c r="C11" s="411">
        <v>69065</v>
      </c>
      <c r="D11" s="411">
        <v>74900</v>
      </c>
      <c r="E11" s="411">
        <v>79928</v>
      </c>
      <c r="F11" s="411">
        <v>82582</v>
      </c>
      <c r="G11" s="411">
        <v>81201</v>
      </c>
      <c r="H11" s="411">
        <v>79986</v>
      </c>
      <c r="I11" s="411">
        <v>77014</v>
      </c>
      <c r="J11" s="411">
        <v>72176</v>
      </c>
      <c r="K11" s="411">
        <v>67785</v>
      </c>
      <c r="L11" s="411">
        <v>69875</v>
      </c>
      <c r="M11" s="411">
        <v>72832</v>
      </c>
      <c r="N11" s="411">
        <v>74557</v>
      </c>
      <c r="O11" s="360"/>
    </row>
    <row r="12" spans="1:15" ht="15" customHeight="1">
      <c r="A12" s="410" t="s">
        <v>57</v>
      </c>
      <c r="B12" s="410" t="s">
        <v>213</v>
      </c>
      <c r="C12" s="411">
        <v>51481</v>
      </c>
      <c r="D12" s="411">
        <v>56656</v>
      </c>
      <c r="E12" s="411">
        <v>54544</v>
      </c>
      <c r="F12" s="411">
        <v>50891</v>
      </c>
      <c r="G12" s="411">
        <v>50144</v>
      </c>
      <c r="H12" s="411">
        <v>54189</v>
      </c>
      <c r="I12" s="411">
        <v>47318</v>
      </c>
      <c r="J12" s="411">
        <v>39261</v>
      </c>
      <c r="K12" s="411">
        <v>48711</v>
      </c>
      <c r="L12" s="411">
        <v>57827</v>
      </c>
      <c r="M12" s="411">
        <v>57861</v>
      </c>
      <c r="N12" s="411">
        <v>58128</v>
      </c>
      <c r="O12" s="360"/>
    </row>
    <row r="13" spans="1:15" ht="15" customHeight="1">
      <c r="A13" s="410" t="s">
        <v>114</v>
      </c>
      <c r="B13" s="410" t="s">
        <v>113</v>
      </c>
      <c r="C13" s="411">
        <v>22069</v>
      </c>
      <c r="D13" s="411">
        <v>22670</v>
      </c>
      <c r="E13" s="411">
        <v>26344</v>
      </c>
      <c r="F13" s="411">
        <v>17046</v>
      </c>
      <c r="G13" s="411">
        <v>18132</v>
      </c>
      <c r="H13" s="411">
        <v>19072</v>
      </c>
      <c r="I13" s="411">
        <v>14722</v>
      </c>
      <c r="J13" s="411">
        <v>16524</v>
      </c>
      <c r="K13" s="411">
        <v>18716</v>
      </c>
      <c r="L13" s="411">
        <v>13005</v>
      </c>
      <c r="M13" s="411">
        <v>16001</v>
      </c>
      <c r="N13" s="411">
        <v>11908</v>
      </c>
      <c r="O13" s="360"/>
    </row>
    <row r="14" spans="1:15" ht="15" customHeight="1">
      <c r="A14" s="410" t="s">
        <v>214</v>
      </c>
      <c r="B14" s="410" t="s">
        <v>215</v>
      </c>
      <c r="C14" s="411">
        <v>3974</v>
      </c>
      <c r="D14" s="411">
        <v>4117</v>
      </c>
      <c r="E14" s="411">
        <v>3720</v>
      </c>
      <c r="F14" s="411">
        <v>4417</v>
      </c>
      <c r="G14" s="411">
        <v>4372</v>
      </c>
      <c r="H14" s="411">
        <v>4647</v>
      </c>
      <c r="I14" s="411">
        <v>5021</v>
      </c>
      <c r="J14" s="411">
        <v>5877</v>
      </c>
      <c r="K14" s="411">
        <v>6277</v>
      </c>
      <c r="L14" s="411">
        <v>5998</v>
      </c>
      <c r="M14" s="411">
        <v>6576</v>
      </c>
      <c r="N14" s="411">
        <v>5780</v>
      </c>
      <c r="O14" s="360"/>
    </row>
    <row r="15" spans="1:15" ht="15" customHeight="1">
      <c r="A15" s="410" t="s">
        <v>216</v>
      </c>
      <c r="B15" s="410" t="s">
        <v>217</v>
      </c>
      <c r="C15" s="411">
        <v>997</v>
      </c>
      <c r="D15" s="411">
        <v>7807</v>
      </c>
      <c r="E15" s="411">
        <v>3951</v>
      </c>
      <c r="F15" s="411">
        <v>1747</v>
      </c>
      <c r="G15" s="411">
        <v>3058</v>
      </c>
      <c r="H15" s="411">
        <v>2827</v>
      </c>
      <c r="I15" s="411">
        <v>1438</v>
      </c>
      <c r="J15" s="411">
        <v>1200</v>
      </c>
      <c r="K15" s="411">
        <v>1034</v>
      </c>
      <c r="L15" s="411">
        <v>964</v>
      </c>
      <c r="M15" s="411">
        <v>2505</v>
      </c>
      <c r="N15" s="411">
        <v>2061</v>
      </c>
      <c r="O15" s="360"/>
    </row>
    <row r="16" spans="1:15" s="341" customFormat="1" ht="15" customHeight="1">
      <c r="A16" s="413"/>
      <c r="B16" s="413" t="s">
        <v>43</v>
      </c>
      <c r="C16" s="414">
        <f t="shared" ref="C16:M16" si="0">SUM(C3:C7,C9:C15)</f>
        <v>571025</v>
      </c>
      <c r="D16" s="414">
        <f t="shared" si="0"/>
        <v>607881</v>
      </c>
      <c r="E16" s="414">
        <f t="shared" si="0"/>
        <v>654490</v>
      </c>
      <c r="F16" s="414">
        <f t="shared" si="0"/>
        <v>642812</v>
      </c>
      <c r="G16" s="414">
        <f t="shared" si="0"/>
        <v>603973</v>
      </c>
      <c r="H16" s="414">
        <f t="shared" si="0"/>
        <v>649627</v>
      </c>
      <c r="I16" s="414">
        <f t="shared" si="0"/>
        <v>608742</v>
      </c>
      <c r="J16" s="414">
        <f t="shared" si="0"/>
        <v>664230</v>
      </c>
      <c r="K16" s="414">
        <f t="shared" si="0"/>
        <v>629803</v>
      </c>
      <c r="L16" s="414">
        <f t="shared" si="0"/>
        <v>661065</v>
      </c>
      <c r="M16" s="414">
        <f t="shared" si="0"/>
        <v>662229</v>
      </c>
      <c r="N16" s="414">
        <f t="shared" ref="N16" si="1">SUM(N3:N7,N9:N15)</f>
        <v>694952</v>
      </c>
      <c r="O16" s="415"/>
    </row>
    <row r="17" spans="1:16" ht="18.75" customHeight="1" thickBot="1">
      <c r="A17" s="416" t="s">
        <v>91</v>
      </c>
      <c r="B17" s="416" t="s">
        <v>220</v>
      </c>
      <c r="C17" s="409"/>
      <c r="D17" s="409"/>
      <c r="E17" s="409"/>
      <c r="F17" s="409"/>
      <c r="G17" s="409"/>
      <c r="H17" s="409"/>
      <c r="I17" s="409"/>
      <c r="J17" s="409"/>
      <c r="K17" s="409"/>
      <c r="L17" s="409"/>
      <c r="M17" s="417"/>
      <c r="N17" s="417"/>
      <c r="O17" s="418"/>
      <c r="P17" s="419"/>
    </row>
    <row r="18" spans="1:16" ht="15" customHeight="1">
      <c r="A18" s="410" t="s">
        <v>221</v>
      </c>
      <c r="B18" s="410" t="s">
        <v>200</v>
      </c>
      <c r="C18" s="411">
        <v>-195</v>
      </c>
      <c r="D18" s="411">
        <v>-165</v>
      </c>
      <c r="E18" s="411">
        <v>-150</v>
      </c>
      <c r="F18" s="411">
        <v>-175</v>
      </c>
      <c r="G18" s="411">
        <v>-185</v>
      </c>
      <c r="H18" s="411">
        <v>-370</v>
      </c>
      <c r="I18" s="411">
        <v>-2809</v>
      </c>
      <c r="J18" s="411">
        <v>-2450</v>
      </c>
      <c r="K18" s="411">
        <v>-241</v>
      </c>
      <c r="L18" s="411">
        <v>-281</v>
      </c>
      <c r="M18" s="411">
        <v>-861</v>
      </c>
      <c r="N18" s="411">
        <v>-984</v>
      </c>
      <c r="O18" s="418"/>
      <c r="P18" s="420"/>
    </row>
    <row r="19" spans="1:16" ht="15" customHeight="1">
      <c r="A19" s="410" t="s">
        <v>222</v>
      </c>
      <c r="B19" s="410" t="s">
        <v>223</v>
      </c>
      <c r="C19" s="411">
        <v>-19307</v>
      </c>
      <c r="D19" s="411">
        <v>-31097</v>
      </c>
      <c r="E19" s="411">
        <v>-20120</v>
      </c>
      <c r="F19" s="411">
        <v>-27811</v>
      </c>
      <c r="G19" s="411">
        <v>-11773</v>
      </c>
      <c r="H19" s="411">
        <v>-20883</v>
      </c>
      <c r="I19" s="411">
        <v>-12654</v>
      </c>
      <c r="J19" s="411">
        <v>-68176</v>
      </c>
      <c r="K19" s="411">
        <v>-22419</v>
      </c>
      <c r="L19" s="411">
        <v>-34245</v>
      </c>
      <c r="M19" s="411">
        <v>-26283</v>
      </c>
      <c r="N19" s="411">
        <v>-33782</v>
      </c>
      <c r="O19" s="418"/>
      <c r="P19" s="420"/>
    </row>
    <row r="20" spans="1:16" ht="15" customHeight="1">
      <c r="A20" s="410" t="s">
        <v>201</v>
      </c>
      <c r="B20" s="410" t="s">
        <v>202</v>
      </c>
      <c r="C20" s="411">
        <v>-564</v>
      </c>
      <c r="D20" s="411">
        <v>-639</v>
      </c>
      <c r="E20" s="411">
        <v>-590</v>
      </c>
      <c r="F20" s="411">
        <f>-3198-C20-D20-E20</f>
        <v>-1405</v>
      </c>
      <c r="G20" s="411">
        <v>-608</v>
      </c>
      <c r="H20" s="411">
        <f>-2399-G20</f>
        <v>-1791</v>
      </c>
      <c r="I20" s="411">
        <f>-4476-G20-H20</f>
        <v>-2077</v>
      </c>
      <c r="J20" s="411">
        <f>-8918-G20-H20-I20</f>
        <v>-4442</v>
      </c>
      <c r="K20" s="411">
        <v>-2899</v>
      </c>
      <c r="L20" s="411">
        <v>-3858</v>
      </c>
      <c r="M20" s="411">
        <v>-1791</v>
      </c>
      <c r="N20" s="411">
        <v>-18136</v>
      </c>
      <c r="O20" s="360"/>
    </row>
    <row r="21" spans="1:16" ht="15" customHeight="1">
      <c r="A21" s="410" t="s">
        <v>205</v>
      </c>
      <c r="B21" s="410" t="s">
        <v>206</v>
      </c>
      <c r="C21" s="411">
        <v>-38585</v>
      </c>
      <c r="D21" s="411">
        <v>-40082</v>
      </c>
      <c r="E21" s="411">
        <v>-69396</v>
      </c>
      <c r="F21" s="411">
        <v>-56238</v>
      </c>
      <c r="G21" s="411">
        <v>-38851</v>
      </c>
      <c r="H21" s="411">
        <v>-59617</v>
      </c>
      <c r="I21" s="411">
        <v>-39434</v>
      </c>
      <c r="J21" s="411">
        <v>-50360</v>
      </c>
      <c r="K21" s="411">
        <v>-40656</v>
      </c>
      <c r="L21" s="411">
        <v>-57297</v>
      </c>
      <c r="M21" s="411">
        <v>-43102</v>
      </c>
      <c r="N21" s="411">
        <v>-46809</v>
      </c>
      <c r="O21" s="360"/>
    </row>
    <row r="22" spans="1:16" ht="15" customHeight="1">
      <c r="A22" s="410" t="s">
        <v>207</v>
      </c>
      <c r="B22" s="410" t="s">
        <v>208</v>
      </c>
      <c r="C22" s="411">
        <v>-26239</v>
      </c>
      <c r="D22" s="411">
        <v>-27778</v>
      </c>
      <c r="E22" s="411">
        <v>-56218</v>
      </c>
      <c r="F22" s="411">
        <v>-42235</v>
      </c>
      <c r="G22" s="411">
        <v>-27583</v>
      </c>
      <c r="H22" s="411">
        <v>-47120</v>
      </c>
      <c r="I22" s="411">
        <v>-27091</v>
      </c>
      <c r="J22" s="411">
        <v>-38452</v>
      </c>
      <c r="K22" s="411">
        <v>-30812</v>
      </c>
      <c r="L22" s="411">
        <v>-46330</v>
      </c>
      <c r="M22" s="411">
        <v>-32529</v>
      </c>
      <c r="N22" s="411">
        <v>-33022</v>
      </c>
      <c r="O22" s="360"/>
    </row>
    <row r="23" spans="1:16" ht="15" customHeight="1">
      <c r="A23" s="410" t="s">
        <v>209</v>
      </c>
      <c r="B23" s="410" t="s">
        <v>210</v>
      </c>
      <c r="C23" s="411">
        <v>-8923</v>
      </c>
      <c r="D23" s="411">
        <v>-9623</v>
      </c>
      <c r="E23" s="411">
        <v>-5523</v>
      </c>
      <c r="F23" s="411">
        <v>-9193</v>
      </c>
      <c r="G23" s="411">
        <v>-8707</v>
      </c>
      <c r="H23" s="411">
        <v>-10189</v>
      </c>
      <c r="I23" s="411">
        <v>-9230</v>
      </c>
      <c r="J23" s="411">
        <v>-10451</v>
      </c>
      <c r="K23" s="411">
        <v>-9122</v>
      </c>
      <c r="L23" s="411">
        <v>-10125</v>
      </c>
      <c r="M23" s="411">
        <v>-10119</v>
      </c>
      <c r="N23" s="411">
        <v>-10530</v>
      </c>
      <c r="O23" s="360"/>
    </row>
    <row r="24" spans="1:16" ht="15" customHeight="1">
      <c r="A24" s="410" t="s">
        <v>114</v>
      </c>
      <c r="B24" s="410" t="s">
        <v>113</v>
      </c>
      <c r="C24" s="411">
        <v>-3172</v>
      </c>
      <c r="D24" s="411">
        <v>-2739</v>
      </c>
      <c r="E24" s="411">
        <v>-2616</v>
      </c>
      <c r="F24" s="411">
        <v>-2648</v>
      </c>
      <c r="G24" s="411">
        <v>-2731</v>
      </c>
      <c r="H24" s="411">
        <v>-2388</v>
      </c>
      <c r="I24" s="411">
        <v>-2192</v>
      </c>
      <c r="J24" s="411">
        <v>-2283</v>
      </c>
      <c r="K24" s="411">
        <v>-2503</v>
      </c>
      <c r="L24" s="411">
        <v>-1783</v>
      </c>
      <c r="M24" s="411">
        <v>-2068</v>
      </c>
      <c r="N24" s="411">
        <v>-1944</v>
      </c>
      <c r="O24" s="360"/>
    </row>
    <row r="25" spans="1:16" ht="15" customHeight="1">
      <c r="A25" s="410" t="s">
        <v>224</v>
      </c>
      <c r="B25" s="410" t="s">
        <v>212</v>
      </c>
      <c r="C25" s="411">
        <v>-1630</v>
      </c>
      <c r="D25" s="411">
        <v>-1620</v>
      </c>
      <c r="E25" s="411">
        <v>-1618</v>
      </c>
      <c r="F25" s="411">
        <v>-1740</v>
      </c>
      <c r="G25" s="411">
        <v>-1829</v>
      </c>
      <c r="H25" s="411">
        <v>-1799</v>
      </c>
      <c r="I25" s="411">
        <v>-1512</v>
      </c>
      <c r="J25" s="411">
        <v>-1828</v>
      </c>
      <c r="K25" s="411">
        <v>-2139</v>
      </c>
      <c r="L25" s="411">
        <v>-1480</v>
      </c>
      <c r="M25" s="411">
        <v>-2017</v>
      </c>
      <c r="N25" s="411">
        <v>-5761</v>
      </c>
      <c r="O25" s="360"/>
    </row>
    <row r="26" spans="1:16" ht="15" customHeight="1">
      <c r="A26" s="410" t="s">
        <v>57</v>
      </c>
      <c r="B26" s="410" t="s">
        <v>213</v>
      </c>
      <c r="C26" s="411">
        <v>-2140</v>
      </c>
      <c r="D26" s="411">
        <v>-2489</v>
      </c>
      <c r="E26" s="411">
        <v>-6266</v>
      </c>
      <c r="F26" s="411">
        <v>-3876</v>
      </c>
      <c r="G26" s="411">
        <v>-2209</v>
      </c>
      <c r="H26" s="411">
        <v>-1950</v>
      </c>
      <c r="I26" s="411">
        <v>-2157</v>
      </c>
      <c r="J26" s="411">
        <v>-2153</v>
      </c>
      <c r="K26" s="411">
        <v>-5138</v>
      </c>
      <c r="L26" s="411">
        <v>-5187</v>
      </c>
      <c r="M26" s="411">
        <v>-4634</v>
      </c>
      <c r="N26" s="411">
        <v>-4774</v>
      </c>
      <c r="O26" s="360"/>
    </row>
    <row r="27" spans="1:16" ht="15" customHeight="1">
      <c r="A27" s="410" t="s">
        <v>56</v>
      </c>
      <c r="B27" s="410" t="s">
        <v>44</v>
      </c>
      <c r="C27" s="411">
        <v>-5805</v>
      </c>
      <c r="D27" s="411">
        <v>-5832</v>
      </c>
      <c r="E27" s="411">
        <v>-5811</v>
      </c>
      <c r="F27" s="411">
        <v>-4130</v>
      </c>
      <c r="G27" s="411">
        <v>-5309</v>
      </c>
      <c r="H27" s="411">
        <v>-4955</v>
      </c>
      <c r="I27" s="411">
        <v>-4486</v>
      </c>
      <c r="J27" s="411">
        <v>-3058</v>
      </c>
      <c r="K27" s="411">
        <v>-2826</v>
      </c>
      <c r="L27" s="411">
        <v>-2205</v>
      </c>
      <c r="M27" s="411">
        <v>-2130</v>
      </c>
      <c r="N27" s="411">
        <v>-3514</v>
      </c>
      <c r="O27" s="360"/>
    </row>
    <row r="28" spans="1:16" ht="15" customHeight="1">
      <c r="A28" s="410" t="s">
        <v>214</v>
      </c>
      <c r="B28" s="410" t="s">
        <v>215</v>
      </c>
      <c r="C28" s="411">
        <v>-5967</v>
      </c>
      <c r="D28" s="411">
        <v>-7008</v>
      </c>
      <c r="E28" s="411">
        <v>-6769</v>
      </c>
      <c r="F28" s="411">
        <v>-7440</v>
      </c>
      <c r="G28" s="411">
        <v>-7044</v>
      </c>
      <c r="H28" s="411">
        <v>-6451</v>
      </c>
      <c r="I28" s="411">
        <v>-6894</v>
      </c>
      <c r="J28" s="411">
        <v>-6933</v>
      </c>
      <c r="K28" s="411">
        <v>-7564</v>
      </c>
      <c r="L28" s="411">
        <v>-7575</v>
      </c>
      <c r="M28" s="411">
        <v>-7424</v>
      </c>
      <c r="N28" s="411">
        <v>-7864</v>
      </c>
      <c r="O28" s="360"/>
    </row>
    <row r="29" spans="1:16" ht="15" customHeight="1">
      <c r="A29" s="410" t="s">
        <v>225</v>
      </c>
      <c r="B29" s="410" t="s">
        <v>226</v>
      </c>
      <c r="C29" s="411">
        <v>-1801</v>
      </c>
      <c r="D29" s="411">
        <v>-3050</v>
      </c>
      <c r="E29" s="411">
        <v>-3405</v>
      </c>
      <c r="F29" s="411">
        <v>-3662</v>
      </c>
      <c r="G29" s="411">
        <v>-2112</v>
      </c>
      <c r="H29" s="411">
        <v>-2403</v>
      </c>
      <c r="I29" s="411">
        <v>-2359</v>
      </c>
      <c r="J29" s="411">
        <v>-2470</v>
      </c>
      <c r="K29" s="411">
        <v>-2314</v>
      </c>
      <c r="L29" s="411">
        <v>-2153</v>
      </c>
      <c r="M29" s="411">
        <v>-2257</v>
      </c>
      <c r="N29" s="411">
        <v>-2189</v>
      </c>
      <c r="O29" s="360"/>
    </row>
    <row r="30" spans="1:16" ht="15" customHeight="1">
      <c r="A30" s="410" t="s">
        <v>218</v>
      </c>
      <c r="B30" s="410" t="s">
        <v>219</v>
      </c>
      <c r="C30" s="411">
        <f>-8306-C20</f>
        <v>-7742</v>
      </c>
      <c r="D30" s="411">
        <f>-8534-D20</f>
        <v>-7895</v>
      </c>
      <c r="E30" s="411">
        <f>-5911-E20</f>
        <v>-5321</v>
      </c>
      <c r="F30" s="411">
        <f>-10516-F20</f>
        <v>-9111</v>
      </c>
      <c r="G30" s="411">
        <f>-8111-G20</f>
        <v>-7503</v>
      </c>
      <c r="H30" s="411">
        <f>-8862-H20</f>
        <v>-7071</v>
      </c>
      <c r="I30" s="411">
        <f>-9365-I20</f>
        <v>-7288</v>
      </c>
      <c r="J30" s="411">
        <f>-16791-J20</f>
        <v>-12349</v>
      </c>
      <c r="K30" s="411">
        <f>-14819-K20</f>
        <v>-11920</v>
      </c>
      <c r="L30" s="411">
        <v>-12519</v>
      </c>
      <c r="M30" s="411">
        <v>-15496</v>
      </c>
      <c r="N30" s="411">
        <v>-16960</v>
      </c>
      <c r="O30" s="360"/>
    </row>
    <row r="31" spans="1:16" s="341" customFormat="1" ht="15" customHeight="1">
      <c r="A31" s="413"/>
      <c r="B31" s="413" t="s">
        <v>43</v>
      </c>
      <c r="C31" s="414">
        <f t="shared" ref="C31" si="2">SUM(C18:C21,C23:C30)</f>
        <v>-95831</v>
      </c>
      <c r="D31" s="414">
        <f t="shared" ref="D31" si="3">SUM(D18:D21,D23:D30)</f>
        <v>-112239</v>
      </c>
      <c r="E31" s="414">
        <f t="shared" ref="E31" si="4">SUM(E18:E21,E23:E30)</f>
        <v>-127585</v>
      </c>
      <c r="F31" s="414">
        <f t="shared" ref="F31" si="5">SUM(F18:F21,F23:F30)</f>
        <v>-127429</v>
      </c>
      <c r="G31" s="414">
        <f t="shared" ref="G31" si="6">SUM(G18:G21,G23:G30)</f>
        <v>-88861</v>
      </c>
      <c r="H31" s="414">
        <f t="shared" ref="H31" si="7">SUM(H18:H21,H23:H30)</f>
        <v>-119867</v>
      </c>
      <c r="I31" s="414">
        <f t="shared" ref="I31" si="8">SUM(I18:I21,I23:I30)</f>
        <v>-93092</v>
      </c>
      <c r="J31" s="414">
        <f t="shared" ref="J31" si="9">SUM(J18:J21,J23:J30)</f>
        <v>-166953</v>
      </c>
      <c r="K31" s="414">
        <f t="shared" ref="K31:M31" si="10">SUM(K18:K21,K23:K30)</f>
        <v>-109741</v>
      </c>
      <c r="L31" s="414">
        <f t="shared" si="10"/>
        <v>-138708</v>
      </c>
      <c r="M31" s="414">
        <f t="shared" si="10"/>
        <v>-118182</v>
      </c>
      <c r="N31" s="414">
        <f t="shared" ref="N31" si="11">SUM(N18:N21,N23:N30)</f>
        <v>-153247</v>
      </c>
      <c r="P31" s="415"/>
    </row>
    <row r="32" spans="1:16" ht="15" customHeight="1">
      <c r="P32" s="360"/>
    </row>
    <row r="33" spans="1:27" ht="15" customHeight="1">
      <c r="A33" s="413" t="s">
        <v>55</v>
      </c>
      <c r="B33" s="413" t="s">
        <v>4</v>
      </c>
      <c r="C33" s="414">
        <f t="shared" ref="C33:M33" si="12">SUM(C16,C31)</f>
        <v>475194</v>
      </c>
      <c r="D33" s="414">
        <f t="shared" si="12"/>
        <v>495642</v>
      </c>
      <c r="E33" s="414">
        <f t="shared" si="12"/>
        <v>526905</v>
      </c>
      <c r="F33" s="414">
        <f t="shared" si="12"/>
        <v>515383</v>
      </c>
      <c r="G33" s="414">
        <f t="shared" si="12"/>
        <v>515112</v>
      </c>
      <c r="H33" s="414">
        <f t="shared" si="12"/>
        <v>529760</v>
      </c>
      <c r="I33" s="414">
        <f t="shared" si="12"/>
        <v>515650</v>
      </c>
      <c r="J33" s="414">
        <f t="shared" si="12"/>
        <v>497277</v>
      </c>
      <c r="K33" s="414">
        <f t="shared" si="12"/>
        <v>520062</v>
      </c>
      <c r="L33" s="414">
        <f t="shared" si="12"/>
        <v>522357</v>
      </c>
      <c r="M33" s="414">
        <f t="shared" si="12"/>
        <v>544047</v>
      </c>
      <c r="N33" s="414">
        <f t="shared" ref="N33" si="13">SUM(N16,N31)</f>
        <v>541705</v>
      </c>
      <c r="R33" s="29"/>
      <c r="S33" s="29"/>
      <c r="T33" s="29"/>
      <c r="U33" s="29"/>
      <c r="V33" s="29"/>
      <c r="W33" s="29"/>
      <c r="X33" s="29"/>
      <c r="Y33" s="29"/>
      <c r="Z33" s="29"/>
      <c r="AA33" s="29"/>
    </row>
    <row r="34" spans="1:27" ht="15" customHeight="1">
      <c r="R34" s="29"/>
      <c r="S34" s="29"/>
      <c r="T34" s="29"/>
      <c r="U34" s="29"/>
      <c r="V34" s="29"/>
      <c r="W34" s="29"/>
      <c r="X34" s="29"/>
      <c r="Y34" s="29"/>
      <c r="Z34" s="29"/>
      <c r="AA34" s="29"/>
    </row>
    <row r="35" spans="1:27" ht="15" customHeight="1" thickBot="1">
      <c r="C35" s="421"/>
      <c r="D35" s="409"/>
      <c r="E35" s="409"/>
      <c r="F35" s="409"/>
      <c r="G35" s="409"/>
      <c r="H35" s="409"/>
      <c r="I35" s="409"/>
      <c r="J35" s="409"/>
      <c r="K35" s="409"/>
      <c r="L35" s="409"/>
      <c r="M35" s="409"/>
      <c r="N35" s="409"/>
      <c r="R35" s="29"/>
      <c r="S35" s="29"/>
      <c r="T35" s="29"/>
      <c r="U35" s="29"/>
      <c r="V35" s="29"/>
      <c r="W35" s="29"/>
      <c r="X35" s="29"/>
      <c r="Y35" s="29"/>
      <c r="Z35" s="29"/>
      <c r="AA35" s="29"/>
    </row>
    <row r="36" spans="1:27" ht="15" customHeight="1" thickBot="1">
      <c r="A36" s="396" t="s">
        <v>55</v>
      </c>
      <c r="B36" s="396" t="s">
        <v>4</v>
      </c>
      <c r="C36" s="422" t="s">
        <v>189</v>
      </c>
      <c r="D36" s="409" t="s">
        <v>190</v>
      </c>
      <c r="E36" s="409" t="s">
        <v>191</v>
      </c>
      <c r="F36" s="409" t="str">
        <f>F2</f>
        <v>IV Q 2017</v>
      </c>
      <c r="G36" s="409" t="str">
        <f>G2</f>
        <v>I Q 2018</v>
      </c>
      <c r="H36" s="409" t="str">
        <f>H2</f>
        <v>II Q 2018</v>
      </c>
      <c r="I36" s="409" t="s">
        <v>195</v>
      </c>
      <c r="J36" s="409" t="str">
        <f>J2</f>
        <v>IV Q 2018</v>
      </c>
      <c r="K36" s="409" t="s">
        <v>197</v>
      </c>
      <c r="L36" s="409" t="s">
        <v>198</v>
      </c>
      <c r="M36" s="409" t="s">
        <v>633</v>
      </c>
      <c r="N36" s="409" t="str">
        <f>N2</f>
        <v>IV Q 2019</v>
      </c>
      <c r="O36" s="423"/>
      <c r="R36" s="29"/>
      <c r="S36" s="29"/>
      <c r="T36" s="29"/>
      <c r="U36" s="29"/>
      <c r="V36" s="29"/>
      <c r="W36" s="29"/>
      <c r="X36" s="29"/>
      <c r="Y36" s="29"/>
      <c r="Z36" s="29"/>
      <c r="AA36" s="29"/>
    </row>
    <row r="37" spans="1:27" ht="15" customHeight="1">
      <c r="A37" s="410" t="s">
        <v>199</v>
      </c>
      <c r="B37" s="410" t="s">
        <v>200</v>
      </c>
      <c r="C37" s="411">
        <f t="shared" ref="C37:L37" si="14">C3+C18</f>
        <v>83166</v>
      </c>
      <c r="D37" s="411">
        <f t="shared" si="14"/>
        <v>85353</v>
      </c>
      <c r="E37" s="411">
        <f t="shared" si="14"/>
        <v>83698</v>
      </c>
      <c r="F37" s="411">
        <f t="shared" si="14"/>
        <v>85404</v>
      </c>
      <c r="G37" s="411">
        <f t="shared" si="14"/>
        <v>81314</v>
      </c>
      <c r="H37" s="411">
        <f t="shared" si="14"/>
        <v>80029</v>
      </c>
      <c r="I37" s="411">
        <f t="shared" si="14"/>
        <v>75671</v>
      </c>
      <c r="J37" s="411">
        <f t="shared" si="14"/>
        <v>80429</v>
      </c>
      <c r="K37" s="411">
        <f t="shared" si="14"/>
        <v>80848</v>
      </c>
      <c r="L37" s="411">
        <f t="shared" si="14"/>
        <v>81375</v>
      </c>
      <c r="M37" s="411">
        <v>81709</v>
      </c>
      <c r="N37" s="411">
        <v>80673</v>
      </c>
      <c r="O37" s="423"/>
      <c r="R37" s="29"/>
      <c r="S37" s="29"/>
      <c r="T37" s="29"/>
      <c r="U37" s="29"/>
      <c r="V37" s="29"/>
      <c r="W37" s="29"/>
      <c r="X37" s="29"/>
      <c r="Y37" s="29"/>
      <c r="Z37" s="29"/>
      <c r="AA37" s="29"/>
    </row>
    <row r="38" spans="1:27" ht="15" customHeight="1">
      <c r="A38" s="410" t="s">
        <v>630</v>
      </c>
      <c r="B38" s="410" t="s">
        <v>614</v>
      </c>
      <c r="C38" s="411">
        <f t="shared" ref="C38:L38" si="15">C4+C19</f>
        <v>58933</v>
      </c>
      <c r="D38" s="411">
        <f t="shared" si="15"/>
        <v>50701</v>
      </c>
      <c r="E38" s="411">
        <f t="shared" si="15"/>
        <v>67014</v>
      </c>
      <c r="F38" s="411">
        <f t="shared" si="15"/>
        <v>61381</v>
      </c>
      <c r="G38" s="411">
        <f t="shared" si="15"/>
        <v>72644</v>
      </c>
      <c r="H38" s="411">
        <f t="shared" si="15"/>
        <v>74018</v>
      </c>
      <c r="I38" s="411">
        <f t="shared" si="15"/>
        <v>82072</v>
      </c>
      <c r="J38" s="411">
        <f t="shared" si="15"/>
        <v>42663</v>
      </c>
      <c r="K38" s="411">
        <f t="shared" si="15"/>
        <v>78287</v>
      </c>
      <c r="L38" s="411">
        <f t="shared" si="15"/>
        <v>64767</v>
      </c>
      <c r="M38" s="411">
        <v>76414</v>
      </c>
      <c r="N38" s="411">
        <v>88937</v>
      </c>
      <c r="O38" s="423"/>
      <c r="R38" s="29"/>
      <c r="S38" s="29"/>
      <c r="T38" s="29"/>
      <c r="U38" s="29"/>
      <c r="V38" s="29"/>
      <c r="W38" s="29"/>
      <c r="X38" s="29"/>
      <c r="Y38" s="29"/>
      <c r="Z38" s="29"/>
      <c r="AA38" s="29"/>
    </row>
    <row r="39" spans="1:27" ht="15" customHeight="1">
      <c r="A39" s="410" t="s">
        <v>201</v>
      </c>
      <c r="B39" s="410" t="s">
        <v>202</v>
      </c>
      <c r="C39" s="411">
        <f>C5+C20</f>
        <v>12224</v>
      </c>
      <c r="D39" s="411">
        <f t="shared" ref="D39:L39" si="16">D5+D20</f>
        <v>11192</v>
      </c>
      <c r="E39" s="411">
        <f t="shared" si="16"/>
        <v>15755</v>
      </c>
      <c r="F39" s="411">
        <f t="shared" si="16"/>
        <v>17934</v>
      </c>
      <c r="G39" s="411">
        <f t="shared" si="16"/>
        <v>14213</v>
      </c>
      <c r="H39" s="411">
        <f t="shared" si="16"/>
        <v>13144</v>
      </c>
      <c r="I39" s="411">
        <f t="shared" si="16"/>
        <v>12663</v>
      </c>
      <c r="J39" s="411">
        <f t="shared" si="16"/>
        <v>21584</v>
      </c>
      <c r="K39" s="411">
        <f t="shared" si="16"/>
        <v>14492</v>
      </c>
      <c r="L39" s="411">
        <f t="shared" si="16"/>
        <v>12995</v>
      </c>
      <c r="M39" s="411">
        <v>16046</v>
      </c>
      <c r="N39" s="411">
        <v>2201</v>
      </c>
      <c r="O39" s="423"/>
      <c r="R39" s="29"/>
      <c r="S39" s="29"/>
      <c r="T39" s="29"/>
      <c r="U39" s="29"/>
      <c r="V39" s="29"/>
      <c r="W39" s="29"/>
      <c r="X39" s="29"/>
      <c r="Y39" s="29"/>
      <c r="Z39" s="29"/>
      <c r="AA39" s="29"/>
    </row>
    <row r="40" spans="1:27" ht="15" customHeight="1">
      <c r="A40" s="410" t="s">
        <v>203</v>
      </c>
      <c r="B40" s="410" t="s">
        <v>204</v>
      </c>
      <c r="C40" s="411">
        <f t="shared" ref="C40:L40" si="17">C6</f>
        <v>78131</v>
      </c>
      <c r="D40" s="411">
        <f t="shared" si="17"/>
        <v>84907</v>
      </c>
      <c r="E40" s="411">
        <f t="shared" si="17"/>
        <v>91823</v>
      </c>
      <c r="F40" s="411">
        <f t="shared" si="17"/>
        <v>91195</v>
      </c>
      <c r="G40" s="411">
        <f t="shared" si="17"/>
        <v>89091</v>
      </c>
      <c r="H40" s="411">
        <f t="shared" si="17"/>
        <v>100549</v>
      </c>
      <c r="I40" s="411">
        <f t="shared" si="17"/>
        <v>96500</v>
      </c>
      <c r="J40" s="411">
        <f t="shared" si="17"/>
        <v>109843</v>
      </c>
      <c r="K40" s="411">
        <f t="shared" si="17"/>
        <v>106851</v>
      </c>
      <c r="L40" s="411">
        <f t="shared" si="17"/>
        <v>113794</v>
      </c>
      <c r="M40" s="411">
        <v>111614</v>
      </c>
      <c r="N40" s="411">
        <v>110458</v>
      </c>
      <c r="O40" s="423"/>
      <c r="R40" s="29"/>
      <c r="S40" s="29"/>
      <c r="T40" s="29"/>
      <c r="U40" s="29"/>
      <c r="V40" s="29"/>
      <c r="W40" s="29"/>
      <c r="X40" s="29"/>
      <c r="Y40" s="29"/>
      <c r="Z40" s="29"/>
      <c r="AA40" s="29"/>
    </row>
    <row r="41" spans="1:27" ht="15" customHeight="1">
      <c r="A41" s="410" t="s">
        <v>205</v>
      </c>
      <c r="B41" s="410" t="s">
        <v>206</v>
      </c>
      <c r="C41" s="411">
        <f t="shared" ref="C41:L41" si="18">C7+C21</f>
        <v>88449</v>
      </c>
      <c r="D41" s="411">
        <f t="shared" si="18"/>
        <v>92393</v>
      </c>
      <c r="E41" s="411">
        <f t="shared" si="18"/>
        <v>93025</v>
      </c>
      <c r="F41" s="411">
        <f t="shared" si="18"/>
        <v>98827</v>
      </c>
      <c r="G41" s="411">
        <f t="shared" si="18"/>
        <v>94406</v>
      </c>
      <c r="H41" s="411">
        <f t="shared" si="18"/>
        <v>95680</v>
      </c>
      <c r="I41" s="411">
        <f t="shared" si="18"/>
        <v>96924</v>
      </c>
      <c r="J41" s="411">
        <f t="shared" si="18"/>
        <v>99424</v>
      </c>
      <c r="K41" s="411">
        <f t="shared" si="18"/>
        <v>94473</v>
      </c>
      <c r="L41" s="411">
        <f t="shared" si="18"/>
        <v>98096</v>
      </c>
      <c r="M41" s="411">
        <v>100793</v>
      </c>
      <c r="N41" s="411">
        <v>94553</v>
      </c>
      <c r="O41" s="423"/>
      <c r="R41" s="29"/>
      <c r="S41" s="29"/>
      <c r="T41" s="29"/>
      <c r="U41" s="29"/>
      <c r="V41" s="29"/>
      <c r="W41" s="29"/>
      <c r="X41" s="29"/>
      <c r="Y41" s="29"/>
      <c r="Z41" s="29"/>
      <c r="AA41" s="29"/>
    </row>
    <row r="42" spans="1:27" ht="15" customHeight="1">
      <c r="A42" s="410" t="s">
        <v>207</v>
      </c>
      <c r="B42" s="410" t="s">
        <v>208</v>
      </c>
      <c r="C42" s="411">
        <f t="shared" ref="C42:L42" si="19">C8+C22</f>
        <v>42512</v>
      </c>
      <c r="D42" s="411">
        <f t="shared" si="19"/>
        <v>43677</v>
      </c>
      <c r="E42" s="411">
        <f t="shared" si="19"/>
        <v>45121</v>
      </c>
      <c r="F42" s="411">
        <f t="shared" si="19"/>
        <v>46657</v>
      </c>
      <c r="G42" s="411">
        <f t="shared" si="19"/>
        <v>45954</v>
      </c>
      <c r="H42" s="411">
        <f t="shared" si="19"/>
        <v>47888</v>
      </c>
      <c r="I42" s="411">
        <f t="shared" si="19"/>
        <v>47191</v>
      </c>
      <c r="J42" s="411">
        <f t="shared" si="19"/>
        <v>48142</v>
      </c>
      <c r="K42" s="411">
        <f t="shared" si="19"/>
        <v>45528</v>
      </c>
      <c r="L42" s="411">
        <f t="shared" si="19"/>
        <v>49414</v>
      </c>
      <c r="M42" s="411">
        <v>50512</v>
      </c>
      <c r="N42" s="411">
        <v>48824</v>
      </c>
      <c r="O42" s="423"/>
      <c r="R42" s="29"/>
      <c r="S42" s="29"/>
      <c r="T42" s="29"/>
      <c r="U42" s="29"/>
      <c r="V42" s="29"/>
      <c r="W42" s="29"/>
      <c r="X42" s="29"/>
      <c r="Y42" s="29"/>
      <c r="Z42" s="29"/>
      <c r="AA42" s="29"/>
    </row>
    <row r="43" spans="1:27" ht="15" customHeight="1">
      <c r="A43" s="410" t="s">
        <v>209</v>
      </c>
      <c r="B43" s="410" t="s">
        <v>210</v>
      </c>
      <c r="C43" s="411">
        <f t="shared" ref="C43:L43" si="20">C9+C23</f>
        <v>31106</v>
      </c>
      <c r="D43" s="411">
        <f t="shared" si="20"/>
        <v>32537</v>
      </c>
      <c r="E43" s="411">
        <f t="shared" si="20"/>
        <v>37283</v>
      </c>
      <c r="F43" s="411">
        <f t="shared" si="20"/>
        <v>35360</v>
      </c>
      <c r="G43" s="411">
        <f t="shared" si="20"/>
        <v>34411</v>
      </c>
      <c r="H43" s="411">
        <f t="shared" si="20"/>
        <v>31953</v>
      </c>
      <c r="I43" s="411">
        <f t="shared" si="20"/>
        <v>32923</v>
      </c>
      <c r="J43" s="411">
        <f t="shared" si="20"/>
        <v>36397</v>
      </c>
      <c r="K43" s="411">
        <f t="shared" si="20"/>
        <v>35279</v>
      </c>
      <c r="L43" s="411">
        <f t="shared" si="20"/>
        <v>35124</v>
      </c>
      <c r="M43" s="411">
        <v>36332</v>
      </c>
      <c r="N43" s="411">
        <v>39048</v>
      </c>
      <c r="O43" s="423"/>
      <c r="R43" s="29"/>
      <c r="S43" s="29"/>
      <c r="T43" s="29"/>
      <c r="U43" s="29"/>
      <c r="V43" s="29"/>
      <c r="W43" s="29"/>
      <c r="X43" s="29"/>
      <c r="Y43" s="29"/>
      <c r="Z43" s="29"/>
      <c r="AA43" s="29"/>
    </row>
    <row r="44" spans="1:27" ht="15" customHeight="1">
      <c r="A44" s="410" t="s">
        <v>56</v>
      </c>
      <c r="B44" s="410" t="s">
        <v>44</v>
      </c>
      <c r="C44" s="411">
        <f t="shared" ref="C44:L44" si="21">C10+C27</f>
        <v>-1949</v>
      </c>
      <c r="D44" s="411">
        <f t="shared" si="21"/>
        <v>-2790</v>
      </c>
      <c r="E44" s="411">
        <f t="shared" si="21"/>
        <v>-4185</v>
      </c>
      <c r="F44" s="411">
        <f t="shared" si="21"/>
        <v>-2924</v>
      </c>
      <c r="G44" s="411">
        <f t="shared" si="21"/>
        <v>-4446</v>
      </c>
      <c r="H44" s="411">
        <f t="shared" si="21"/>
        <v>-4272</v>
      </c>
      <c r="I44" s="411">
        <f t="shared" si="21"/>
        <v>-4214</v>
      </c>
      <c r="J44" s="411">
        <f t="shared" si="21"/>
        <v>-85</v>
      </c>
      <c r="K44" s="411">
        <f t="shared" si="21"/>
        <v>-1113</v>
      </c>
      <c r="L44" s="411">
        <f t="shared" si="21"/>
        <v>-766</v>
      </c>
      <c r="M44" s="411">
        <v>-740</v>
      </c>
      <c r="N44" s="411">
        <v>12893</v>
      </c>
      <c r="O44" s="423"/>
      <c r="R44" s="29"/>
      <c r="S44" s="29"/>
      <c r="T44" s="29"/>
      <c r="U44" s="29"/>
      <c r="V44" s="29"/>
      <c r="W44" s="29"/>
      <c r="X44" s="29"/>
      <c r="Y44" s="29"/>
      <c r="Z44" s="29"/>
      <c r="AA44" s="29"/>
    </row>
    <row r="45" spans="1:27" ht="15" customHeight="1">
      <c r="A45" s="410" t="s">
        <v>211</v>
      </c>
      <c r="B45" s="410" t="s">
        <v>212</v>
      </c>
      <c r="C45" s="411">
        <f t="shared" ref="C45:L45" si="22">C11+C25</f>
        <v>67435</v>
      </c>
      <c r="D45" s="411">
        <f t="shared" si="22"/>
        <v>73280</v>
      </c>
      <c r="E45" s="411">
        <f t="shared" si="22"/>
        <v>78310</v>
      </c>
      <c r="F45" s="411">
        <f t="shared" si="22"/>
        <v>80842</v>
      </c>
      <c r="G45" s="411">
        <f t="shared" si="22"/>
        <v>79372</v>
      </c>
      <c r="H45" s="411">
        <f t="shared" si="22"/>
        <v>78187</v>
      </c>
      <c r="I45" s="411">
        <f t="shared" si="22"/>
        <v>75502</v>
      </c>
      <c r="J45" s="411">
        <f t="shared" si="22"/>
        <v>70348</v>
      </c>
      <c r="K45" s="411">
        <f t="shared" si="22"/>
        <v>65646</v>
      </c>
      <c r="L45" s="411">
        <f t="shared" si="22"/>
        <v>68395</v>
      </c>
      <c r="M45" s="411">
        <v>70815</v>
      </c>
      <c r="N45" s="411">
        <v>68795</v>
      </c>
      <c r="O45" s="423"/>
      <c r="R45" s="29"/>
      <c r="S45" s="29"/>
      <c r="T45" s="29"/>
      <c r="U45" s="29"/>
      <c r="V45" s="29"/>
      <c r="W45" s="29"/>
      <c r="X45" s="29"/>
      <c r="Y45" s="29"/>
      <c r="Z45" s="29"/>
      <c r="AA45" s="29"/>
    </row>
    <row r="46" spans="1:27" ht="15" customHeight="1">
      <c r="A46" s="410" t="s">
        <v>57</v>
      </c>
      <c r="B46" s="410" t="s">
        <v>213</v>
      </c>
      <c r="C46" s="411">
        <f t="shared" ref="C46:L46" si="23">C12+C26</f>
        <v>49341</v>
      </c>
      <c r="D46" s="411">
        <f t="shared" si="23"/>
        <v>54167</v>
      </c>
      <c r="E46" s="411">
        <f t="shared" si="23"/>
        <v>48278</v>
      </c>
      <c r="F46" s="411">
        <f t="shared" si="23"/>
        <v>47015</v>
      </c>
      <c r="G46" s="411">
        <f t="shared" si="23"/>
        <v>47935</v>
      </c>
      <c r="H46" s="411">
        <f t="shared" si="23"/>
        <v>52239</v>
      </c>
      <c r="I46" s="411">
        <f t="shared" si="23"/>
        <v>45161</v>
      </c>
      <c r="J46" s="411">
        <f t="shared" si="23"/>
        <v>37108</v>
      </c>
      <c r="K46" s="411">
        <f t="shared" si="23"/>
        <v>43573</v>
      </c>
      <c r="L46" s="411">
        <f t="shared" si="23"/>
        <v>52640</v>
      </c>
      <c r="M46" s="411">
        <v>53227</v>
      </c>
      <c r="N46" s="411">
        <v>53354</v>
      </c>
      <c r="O46" s="423"/>
      <c r="R46" s="29"/>
      <c r="S46" s="29"/>
      <c r="T46" s="29"/>
      <c r="U46" s="29"/>
      <c r="V46" s="29"/>
      <c r="W46" s="29"/>
      <c r="X46" s="29"/>
      <c r="Y46" s="29"/>
      <c r="Z46" s="29"/>
      <c r="AA46" s="29"/>
    </row>
    <row r="47" spans="1:27" ht="15" customHeight="1">
      <c r="A47" s="410" t="s">
        <v>114</v>
      </c>
      <c r="B47" s="410" t="s">
        <v>113</v>
      </c>
      <c r="C47" s="411">
        <f t="shared" ref="C47:L47" si="24">C13+C24</f>
        <v>18897</v>
      </c>
      <c r="D47" s="411">
        <f t="shared" si="24"/>
        <v>19931</v>
      </c>
      <c r="E47" s="411">
        <f t="shared" si="24"/>
        <v>23728</v>
      </c>
      <c r="F47" s="411">
        <f t="shared" si="24"/>
        <v>14398</v>
      </c>
      <c r="G47" s="411">
        <f t="shared" si="24"/>
        <v>15401</v>
      </c>
      <c r="H47" s="411">
        <f t="shared" si="24"/>
        <v>16684</v>
      </c>
      <c r="I47" s="411">
        <f t="shared" si="24"/>
        <v>12530</v>
      </c>
      <c r="J47" s="411">
        <f t="shared" si="24"/>
        <v>14241</v>
      </c>
      <c r="K47" s="411">
        <f t="shared" si="24"/>
        <v>16213</v>
      </c>
      <c r="L47" s="411">
        <f t="shared" si="24"/>
        <v>11222</v>
      </c>
      <c r="M47" s="411">
        <v>13933</v>
      </c>
      <c r="N47" s="411">
        <v>9964</v>
      </c>
      <c r="O47" s="423"/>
      <c r="R47" s="29"/>
      <c r="S47" s="29"/>
      <c r="T47" s="29"/>
      <c r="U47" s="29"/>
      <c r="V47" s="29"/>
      <c r="W47" s="29"/>
      <c r="X47" s="29"/>
      <c r="Y47" s="29"/>
      <c r="Z47" s="29"/>
      <c r="AA47" s="29"/>
    </row>
    <row r="48" spans="1:27" ht="15" customHeight="1">
      <c r="A48" s="410" t="s">
        <v>214</v>
      </c>
      <c r="B48" s="410" t="s">
        <v>215</v>
      </c>
      <c r="C48" s="411">
        <f t="shared" ref="C48:L48" si="25">C14+C28</f>
        <v>-1993</v>
      </c>
      <c r="D48" s="411">
        <f t="shared" si="25"/>
        <v>-2891</v>
      </c>
      <c r="E48" s="411">
        <f t="shared" si="25"/>
        <v>-3049</v>
      </c>
      <c r="F48" s="411">
        <f t="shared" si="25"/>
        <v>-3023</v>
      </c>
      <c r="G48" s="411">
        <f t="shared" si="25"/>
        <v>-2672</v>
      </c>
      <c r="H48" s="411">
        <f t="shared" si="25"/>
        <v>-1804</v>
      </c>
      <c r="I48" s="411">
        <f t="shared" si="25"/>
        <v>-1873</v>
      </c>
      <c r="J48" s="411">
        <f t="shared" si="25"/>
        <v>-1056</v>
      </c>
      <c r="K48" s="411">
        <f t="shared" si="25"/>
        <v>-1287</v>
      </c>
      <c r="L48" s="411">
        <f t="shared" si="25"/>
        <v>-1577</v>
      </c>
      <c r="M48" s="411">
        <v>-848</v>
      </c>
      <c r="N48" s="411">
        <v>-2084</v>
      </c>
      <c r="O48" s="423"/>
      <c r="R48" s="29"/>
      <c r="S48" s="29"/>
      <c r="T48" s="29"/>
      <c r="U48" s="29"/>
      <c r="V48" s="29"/>
      <c r="W48" s="29"/>
      <c r="X48" s="29"/>
      <c r="Y48" s="29"/>
      <c r="Z48" s="29"/>
      <c r="AA48" s="29"/>
    </row>
    <row r="49" spans="1:27" ht="15" customHeight="1">
      <c r="A49" s="410" t="s">
        <v>216</v>
      </c>
      <c r="B49" s="410" t="s">
        <v>217</v>
      </c>
      <c r="C49" s="411">
        <f t="shared" ref="C49:L49" si="26">C15</f>
        <v>997</v>
      </c>
      <c r="D49" s="411">
        <f t="shared" si="26"/>
        <v>7807</v>
      </c>
      <c r="E49" s="411">
        <f t="shared" si="26"/>
        <v>3951</v>
      </c>
      <c r="F49" s="411">
        <f t="shared" si="26"/>
        <v>1747</v>
      </c>
      <c r="G49" s="411">
        <f t="shared" si="26"/>
        <v>3058</v>
      </c>
      <c r="H49" s="411">
        <f t="shared" si="26"/>
        <v>2827</v>
      </c>
      <c r="I49" s="411">
        <f t="shared" si="26"/>
        <v>1438</v>
      </c>
      <c r="J49" s="411">
        <f t="shared" si="26"/>
        <v>1200</v>
      </c>
      <c r="K49" s="411">
        <f t="shared" si="26"/>
        <v>1034</v>
      </c>
      <c r="L49" s="411">
        <f t="shared" si="26"/>
        <v>964</v>
      </c>
      <c r="M49" s="411">
        <v>2505</v>
      </c>
      <c r="N49" s="411">
        <v>2062</v>
      </c>
      <c r="O49" s="423"/>
      <c r="R49" s="29"/>
      <c r="S49" s="29"/>
      <c r="T49" s="29"/>
      <c r="U49" s="29"/>
      <c r="V49" s="29"/>
      <c r="W49" s="29"/>
      <c r="X49" s="29"/>
      <c r="Y49" s="29"/>
      <c r="Z49" s="29"/>
      <c r="AA49" s="29"/>
    </row>
    <row r="50" spans="1:27" ht="15" customHeight="1">
      <c r="A50" s="410" t="s">
        <v>218</v>
      </c>
      <c r="B50" s="410" t="s">
        <v>227</v>
      </c>
      <c r="C50" s="411">
        <f t="shared" ref="C50:H50" si="27">C30+C29</f>
        <v>-9543</v>
      </c>
      <c r="D50" s="411">
        <f t="shared" si="27"/>
        <v>-10945</v>
      </c>
      <c r="E50" s="411">
        <f t="shared" si="27"/>
        <v>-8726</v>
      </c>
      <c r="F50" s="411">
        <f t="shared" si="27"/>
        <v>-12773</v>
      </c>
      <c r="G50" s="411">
        <f t="shared" si="27"/>
        <v>-9615</v>
      </c>
      <c r="H50" s="411">
        <f t="shared" si="27"/>
        <v>-9474</v>
      </c>
      <c r="I50" s="411">
        <f>I30+I29+1</f>
        <v>-9646</v>
      </c>
      <c r="J50" s="411">
        <f>J30+J29+1</f>
        <v>-14818</v>
      </c>
      <c r="K50" s="411">
        <f>K30+K29</f>
        <v>-14234</v>
      </c>
      <c r="L50" s="411">
        <f t="shared" ref="L50" si="28">L30+L29</f>
        <v>-14672</v>
      </c>
      <c r="M50" s="411">
        <v>-17753</v>
      </c>
      <c r="N50" s="411">
        <v>-19149</v>
      </c>
      <c r="O50" s="423"/>
      <c r="R50" s="29"/>
      <c r="S50" s="29"/>
      <c r="T50" s="29"/>
      <c r="U50" s="29"/>
      <c r="V50" s="29"/>
      <c r="W50" s="29"/>
      <c r="X50" s="29"/>
      <c r="Y50" s="29"/>
      <c r="Z50" s="29"/>
      <c r="AA50" s="29"/>
    </row>
    <row r="51" spans="1:27" ht="15" customHeight="1">
      <c r="A51" s="413" t="s">
        <v>58</v>
      </c>
      <c r="B51" s="413" t="s">
        <v>43</v>
      </c>
      <c r="C51" s="414">
        <f t="shared" ref="C51:H51" si="29">SUM(C37:C41,C43:C50)</f>
        <v>475194</v>
      </c>
      <c r="D51" s="414">
        <f t="shared" si="29"/>
        <v>495642</v>
      </c>
      <c r="E51" s="414">
        <f t="shared" si="29"/>
        <v>526905</v>
      </c>
      <c r="F51" s="414">
        <f t="shared" si="29"/>
        <v>515383</v>
      </c>
      <c r="G51" s="414">
        <f t="shared" si="29"/>
        <v>515112</v>
      </c>
      <c r="H51" s="414">
        <f t="shared" si="29"/>
        <v>529760</v>
      </c>
      <c r="I51" s="414">
        <f>SUM(I37:I41,I43:I50)-1</f>
        <v>515650</v>
      </c>
      <c r="J51" s="414">
        <f>SUM(J37:J41,J43:J50)</f>
        <v>497278</v>
      </c>
      <c r="K51" s="414">
        <f>SUM(K37:K41,K43:K50)</f>
        <v>520062</v>
      </c>
      <c r="L51" s="414">
        <f t="shared" ref="L51:M51" si="30">SUM(L37:L41,L43:L50)</f>
        <v>522357</v>
      </c>
      <c r="M51" s="414">
        <f t="shared" si="30"/>
        <v>544047</v>
      </c>
      <c r="N51" s="414">
        <f t="shared" ref="N51" si="31">SUM(N37:N41,N43:N50)</f>
        <v>541705</v>
      </c>
      <c r="O51" s="423"/>
      <c r="R51" s="29"/>
      <c r="S51" s="29"/>
      <c r="T51" s="29"/>
      <c r="U51" s="29"/>
      <c r="V51" s="29"/>
      <c r="W51" s="29"/>
      <c r="X51" s="29"/>
      <c r="Y51" s="29"/>
      <c r="Z51" s="29"/>
      <c r="AA51" s="29"/>
    </row>
    <row r="52" spans="1:27" s="310" customFormat="1" ht="15" customHeight="1">
      <c r="C52" s="315">
        <f>C51-C33</f>
        <v>0</v>
      </c>
      <c r="K52" s="352"/>
      <c r="O52" s="353"/>
    </row>
    <row r="53" spans="1:27" s="310" customFormat="1" ht="15" customHeight="1" thickBot="1">
      <c r="C53" s="421"/>
      <c r="D53" s="409"/>
      <c r="K53" s="352"/>
      <c r="O53" s="353"/>
    </row>
    <row r="54" spans="1:27" s="310" customFormat="1" ht="15" customHeight="1" thickBot="1">
      <c r="A54" s="396" t="s">
        <v>55</v>
      </c>
      <c r="B54" s="396" t="s">
        <v>4</v>
      </c>
      <c r="C54" s="422" t="s">
        <v>189</v>
      </c>
      <c r="D54" s="409" t="s">
        <v>190</v>
      </c>
      <c r="E54" s="422" t="str">
        <f t="shared" ref="E54:K54" si="32">E36</f>
        <v>III Q 2017</v>
      </c>
      <c r="F54" s="422" t="str">
        <f t="shared" si="32"/>
        <v>IV Q 2017</v>
      </c>
      <c r="G54" s="422" t="str">
        <f t="shared" si="32"/>
        <v>I Q 2018</v>
      </c>
      <c r="H54" s="422" t="str">
        <f t="shared" si="32"/>
        <v>II Q 2018</v>
      </c>
      <c r="I54" s="422" t="str">
        <f t="shared" si="32"/>
        <v>III Q 2018</v>
      </c>
      <c r="J54" s="422" t="str">
        <f t="shared" si="32"/>
        <v>IV Q 2018</v>
      </c>
      <c r="K54" s="422" t="str">
        <f t="shared" si="32"/>
        <v>I Q 2019</v>
      </c>
      <c r="L54" s="422" t="s">
        <v>198</v>
      </c>
      <c r="M54" s="422" t="s">
        <v>633</v>
      </c>
      <c r="N54" s="422" t="str">
        <f>N36</f>
        <v>IV Q 2019</v>
      </c>
      <c r="O54" s="353"/>
    </row>
    <row r="55" spans="1:27" s="310" customFormat="1" ht="14.25">
      <c r="A55" s="424" t="s">
        <v>627</v>
      </c>
      <c r="B55" s="424" t="s">
        <v>617</v>
      </c>
      <c r="C55" s="411"/>
      <c r="D55" s="411"/>
      <c r="E55" s="411"/>
      <c r="F55" s="411"/>
      <c r="G55" s="411"/>
      <c r="H55" s="411"/>
      <c r="I55" s="411"/>
      <c r="J55" s="411"/>
      <c r="K55" s="411"/>
      <c r="L55" s="411"/>
      <c r="M55" s="411"/>
      <c r="N55" s="411"/>
    </row>
    <row r="56" spans="1:27" s="310" customFormat="1" ht="15" customHeight="1">
      <c r="A56" s="425" t="s">
        <v>616</v>
      </c>
      <c r="B56" s="410" t="s">
        <v>615</v>
      </c>
      <c r="C56" s="426">
        <f t="shared" ref="C56:K56" si="33">C45/1000</f>
        <v>67</v>
      </c>
      <c r="D56" s="426">
        <f t="shared" si="33"/>
        <v>73</v>
      </c>
      <c r="E56" s="426">
        <f t="shared" si="33"/>
        <v>78</v>
      </c>
      <c r="F56" s="426">
        <f t="shared" si="33"/>
        <v>81</v>
      </c>
      <c r="G56" s="426">
        <f t="shared" si="33"/>
        <v>79</v>
      </c>
      <c r="H56" s="426">
        <f t="shared" si="33"/>
        <v>78</v>
      </c>
      <c r="I56" s="426">
        <f t="shared" si="33"/>
        <v>76</v>
      </c>
      <c r="J56" s="426">
        <f t="shared" si="33"/>
        <v>70</v>
      </c>
      <c r="K56" s="426">
        <f t="shared" si="33"/>
        <v>66</v>
      </c>
      <c r="L56" s="426">
        <f>L45/1000+1</f>
        <v>69</v>
      </c>
      <c r="M56" s="426">
        <f>M45/1000</f>
        <v>71</v>
      </c>
      <c r="N56" s="426">
        <f>N45/1000</f>
        <v>69</v>
      </c>
    </row>
    <row r="57" spans="1:27" s="310" customFormat="1" ht="15" customHeight="1">
      <c r="A57" s="410" t="s">
        <v>56</v>
      </c>
      <c r="B57" s="410" t="s">
        <v>44</v>
      </c>
      <c r="C57" s="411">
        <f>C44/1000</f>
        <v>-2</v>
      </c>
      <c r="D57" s="411">
        <f t="shared" ref="D57:L57" si="34">D44/1000</f>
        <v>-3</v>
      </c>
      <c r="E57" s="411">
        <f t="shared" si="34"/>
        <v>-4</v>
      </c>
      <c r="F57" s="411">
        <f t="shared" si="34"/>
        <v>-3</v>
      </c>
      <c r="G57" s="411">
        <f t="shared" si="34"/>
        <v>-4</v>
      </c>
      <c r="H57" s="411">
        <f t="shared" si="34"/>
        <v>-4</v>
      </c>
      <c r="I57" s="411">
        <f t="shared" si="34"/>
        <v>-4</v>
      </c>
      <c r="J57" s="411">
        <f t="shared" si="34"/>
        <v>0</v>
      </c>
      <c r="K57" s="411">
        <f t="shared" si="34"/>
        <v>-1</v>
      </c>
      <c r="L57" s="411">
        <f t="shared" si="34"/>
        <v>-1</v>
      </c>
      <c r="M57" s="411">
        <f t="shared" ref="M57:N57" si="35">M44/1000</f>
        <v>-1</v>
      </c>
      <c r="N57" s="411">
        <f t="shared" si="35"/>
        <v>13</v>
      </c>
    </row>
    <row r="58" spans="1:27" s="310" customFormat="1" ht="15" customHeight="1">
      <c r="A58" s="410" t="s">
        <v>114</v>
      </c>
      <c r="B58" s="410" t="s">
        <v>113</v>
      </c>
      <c r="C58" s="411">
        <f t="shared" ref="C58:L58" si="36">C47/1000</f>
        <v>19</v>
      </c>
      <c r="D58" s="411">
        <f t="shared" si="36"/>
        <v>20</v>
      </c>
      <c r="E58" s="411">
        <f t="shared" si="36"/>
        <v>24</v>
      </c>
      <c r="F58" s="411">
        <f t="shared" si="36"/>
        <v>14</v>
      </c>
      <c r="G58" s="411">
        <f t="shared" si="36"/>
        <v>15</v>
      </c>
      <c r="H58" s="411">
        <f t="shared" si="36"/>
        <v>17</v>
      </c>
      <c r="I58" s="411">
        <f t="shared" si="36"/>
        <v>13</v>
      </c>
      <c r="J58" s="411">
        <f t="shared" si="36"/>
        <v>14</v>
      </c>
      <c r="K58" s="411">
        <f t="shared" si="36"/>
        <v>16</v>
      </c>
      <c r="L58" s="411">
        <f t="shared" si="36"/>
        <v>11</v>
      </c>
      <c r="M58" s="411">
        <f t="shared" ref="M58:N58" si="37">M47/1000</f>
        <v>14</v>
      </c>
      <c r="N58" s="411">
        <f t="shared" si="37"/>
        <v>10</v>
      </c>
    </row>
    <row r="59" spans="1:27" s="310" customFormat="1" ht="15" customHeight="1">
      <c r="A59" s="410" t="s">
        <v>201</v>
      </c>
      <c r="B59" s="410" t="s">
        <v>202</v>
      </c>
      <c r="C59" s="411">
        <f>C39/1000</f>
        <v>12</v>
      </c>
      <c r="D59" s="411">
        <f t="shared" ref="D59:L59" si="38">D39/1000</f>
        <v>11</v>
      </c>
      <c r="E59" s="411">
        <f t="shared" si="38"/>
        <v>16</v>
      </c>
      <c r="F59" s="411">
        <f t="shared" si="38"/>
        <v>18</v>
      </c>
      <c r="G59" s="411">
        <f t="shared" si="38"/>
        <v>14</v>
      </c>
      <c r="H59" s="411">
        <f t="shared" si="38"/>
        <v>13</v>
      </c>
      <c r="I59" s="411">
        <f t="shared" si="38"/>
        <v>13</v>
      </c>
      <c r="J59" s="411">
        <f t="shared" si="38"/>
        <v>22</v>
      </c>
      <c r="K59" s="411">
        <f t="shared" si="38"/>
        <v>14</v>
      </c>
      <c r="L59" s="411">
        <f t="shared" si="38"/>
        <v>13</v>
      </c>
      <c r="M59" s="411">
        <f t="shared" ref="M59:N59" si="39">M39/1000</f>
        <v>16</v>
      </c>
      <c r="N59" s="411">
        <f t="shared" si="39"/>
        <v>2</v>
      </c>
    </row>
    <row r="60" spans="1:27" s="310" customFormat="1" ht="15" customHeight="1">
      <c r="A60" s="410" t="s">
        <v>623</v>
      </c>
      <c r="B60" s="410" t="s">
        <v>618</v>
      </c>
      <c r="C60" s="411">
        <f t="shared" ref="C60:L60" si="40">C37/1000</f>
        <v>83</v>
      </c>
      <c r="D60" s="411">
        <f t="shared" si="40"/>
        <v>85</v>
      </c>
      <c r="E60" s="411">
        <f t="shared" si="40"/>
        <v>84</v>
      </c>
      <c r="F60" s="411">
        <f t="shared" si="40"/>
        <v>85</v>
      </c>
      <c r="G60" s="411">
        <f t="shared" si="40"/>
        <v>81</v>
      </c>
      <c r="H60" s="411">
        <f t="shared" si="40"/>
        <v>80</v>
      </c>
      <c r="I60" s="411">
        <f t="shared" si="40"/>
        <v>76</v>
      </c>
      <c r="J60" s="411">
        <f t="shared" si="40"/>
        <v>80</v>
      </c>
      <c r="K60" s="411">
        <f t="shared" si="40"/>
        <v>81</v>
      </c>
      <c r="L60" s="411">
        <f t="shared" si="40"/>
        <v>81</v>
      </c>
      <c r="M60" s="411">
        <f t="shared" ref="M60:N60" si="41">M37/1000</f>
        <v>82</v>
      </c>
      <c r="N60" s="411">
        <f t="shared" si="41"/>
        <v>81</v>
      </c>
    </row>
    <row r="61" spans="1:27" s="310" customFormat="1" ht="15" customHeight="1">
      <c r="A61" s="410" t="s">
        <v>624</v>
      </c>
      <c r="B61" s="410" t="s">
        <v>619</v>
      </c>
      <c r="C61" s="411">
        <f t="shared" ref="C61:L61" si="42">C40/1000</f>
        <v>78</v>
      </c>
      <c r="D61" s="411">
        <f t="shared" si="42"/>
        <v>85</v>
      </c>
      <c r="E61" s="411">
        <f t="shared" si="42"/>
        <v>92</v>
      </c>
      <c r="F61" s="411">
        <f t="shared" si="42"/>
        <v>91</v>
      </c>
      <c r="G61" s="411">
        <f t="shared" si="42"/>
        <v>89</v>
      </c>
      <c r="H61" s="411">
        <f t="shared" si="42"/>
        <v>101</v>
      </c>
      <c r="I61" s="411">
        <f t="shared" si="42"/>
        <v>97</v>
      </c>
      <c r="J61" s="411">
        <f t="shared" si="42"/>
        <v>110</v>
      </c>
      <c r="K61" s="411">
        <f t="shared" si="42"/>
        <v>107</v>
      </c>
      <c r="L61" s="411">
        <f t="shared" si="42"/>
        <v>114</v>
      </c>
      <c r="M61" s="411">
        <f t="shared" ref="M61:N61" si="43">M40/1000</f>
        <v>112</v>
      </c>
      <c r="N61" s="411">
        <f t="shared" si="43"/>
        <v>110</v>
      </c>
    </row>
    <row r="62" spans="1:27" s="310" customFormat="1" ht="15" customHeight="1">
      <c r="A62" s="410" t="s">
        <v>625</v>
      </c>
      <c r="B62" s="410" t="s">
        <v>620</v>
      </c>
      <c r="C62" s="411">
        <f t="shared" ref="C62:L62" si="44">C41/1000</f>
        <v>88</v>
      </c>
      <c r="D62" s="411">
        <f t="shared" si="44"/>
        <v>92</v>
      </c>
      <c r="E62" s="411">
        <f t="shared" si="44"/>
        <v>93</v>
      </c>
      <c r="F62" s="411">
        <f t="shared" si="44"/>
        <v>99</v>
      </c>
      <c r="G62" s="411">
        <f t="shared" si="44"/>
        <v>94</v>
      </c>
      <c r="H62" s="411">
        <f t="shared" si="44"/>
        <v>96</v>
      </c>
      <c r="I62" s="411">
        <f t="shared" si="44"/>
        <v>97</v>
      </c>
      <c r="J62" s="411">
        <f t="shared" si="44"/>
        <v>99</v>
      </c>
      <c r="K62" s="411">
        <f t="shared" si="44"/>
        <v>94</v>
      </c>
      <c r="L62" s="411">
        <f t="shared" si="44"/>
        <v>98</v>
      </c>
      <c r="M62" s="411">
        <f t="shared" ref="M62:N62" si="45">M41/1000</f>
        <v>101</v>
      </c>
      <c r="N62" s="411">
        <f t="shared" si="45"/>
        <v>95</v>
      </c>
    </row>
    <row r="63" spans="1:27" s="310" customFormat="1" ht="15" customHeight="1">
      <c r="A63" s="410" t="s">
        <v>626</v>
      </c>
      <c r="B63" s="410" t="s">
        <v>621</v>
      </c>
      <c r="C63" s="411">
        <f t="shared" ref="C63:L63" si="46">(C38+C48)/1000</f>
        <v>57</v>
      </c>
      <c r="D63" s="411">
        <f t="shared" si="46"/>
        <v>48</v>
      </c>
      <c r="E63" s="411">
        <f t="shared" si="46"/>
        <v>64</v>
      </c>
      <c r="F63" s="411">
        <f t="shared" si="46"/>
        <v>58</v>
      </c>
      <c r="G63" s="411">
        <f t="shared" si="46"/>
        <v>70</v>
      </c>
      <c r="H63" s="411">
        <f t="shared" si="46"/>
        <v>72</v>
      </c>
      <c r="I63" s="411">
        <f t="shared" si="46"/>
        <v>80</v>
      </c>
      <c r="J63" s="411">
        <f t="shared" si="46"/>
        <v>42</v>
      </c>
      <c r="K63" s="411">
        <f t="shared" si="46"/>
        <v>77</v>
      </c>
      <c r="L63" s="411">
        <f t="shared" si="46"/>
        <v>63</v>
      </c>
      <c r="M63" s="411">
        <f>(M38+M48)/1000-1</f>
        <v>75</v>
      </c>
      <c r="N63" s="411">
        <f t="shared" ref="N63" si="47">(N38+N48)/1000</f>
        <v>87</v>
      </c>
    </row>
    <row r="64" spans="1:27" s="310" customFormat="1" ht="15" customHeight="1">
      <c r="A64" s="410" t="s">
        <v>57</v>
      </c>
      <c r="B64" s="410" t="s">
        <v>622</v>
      </c>
      <c r="C64" s="411">
        <f t="shared" ref="C64:L64" si="48">C46/1000</f>
        <v>49</v>
      </c>
      <c r="D64" s="411">
        <f t="shared" si="48"/>
        <v>54</v>
      </c>
      <c r="E64" s="411">
        <f t="shared" si="48"/>
        <v>48</v>
      </c>
      <c r="F64" s="411">
        <f t="shared" si="48"/>
        <v>47</v>
      </c>
      <c r="G64" s="411">
        <f t="shared" si="48"/>
        <v>48</v>
      </c>
      <c r="H64" s="411">
        <f t="shared" si="48"/>
        <v>52</v>
      </c>
      <c r="I64" s="411">
        <f t="shared" si="48"/>
        <v>45</v>
      </c>
      <c r="J64" s="411">
        <f t="shared" si="48"/>
        <v>37</v>
      </c>
      <c r="K64" s="411">
        <f t="shared" si="48"/>
        <v>44</v>
      </c>
      <c r="L64" s="411">
        <f t="shared" si="48"/>
        <v>53</v>
      </c>
      <c r="M64" s="411">
        <f t="shared" ref="M64:N64" si="49">M46/1000</f>
        <v>53</v>
      </c>
      <c r="N64" s="411">
        <f t="shared" si="49"/>
        <v>53</v>
      </c>
    </row>
    <row r="65" spans="1:14" s="310" customFormat="1" ht="15" customHeight="1">
      <c r="A65" s="410" t="s">
        <v>218</v>
      </c>
      <c r="B65" s="410" t="s">
        <v>45</v>
      </c>
      <c r="C65" s="411">
        <f>(C50+C43+C49)/1000+1</f>
        <v>24</v>
      </c>
      <c r="D65" s="411">
        <f>(D50+D43+D49)/1000+1</f>
        <v>30</v>
      </c>
      <c r="E65" s="411">
        <f>(E50+E43+E49)/1000-1</f>
        <v>32</v>
      </c>
      <c r="F65" s="411">
        <f>(F50+F43+F49)/1000+1</f>
        <v>25</v>
      </c>
      <c r="G65" s="411">
        <f>(G50+G43+G49)/1000+1</f>
        <v>29</v>
      </c>
      <c r="H65" s="411">
        <f>(H50+H43+H49)/1000-1</f>
        <v>24</v>
      </c>
      <c r="I65" s="411">
        <f>(I50+I43+I49)/1000-2</f>
        <v>23</v>
      </c>
      <c r="J65" s="411">
        <f>(J50+J43+J49)/1000</f>
        <v>23</v>
      </c>
      <c r="K65" s="411">
        <f>(K50+K43+K49)/1000</f>
        <v>22</v>
      </c>
      <c r="L65" s="411">
        <f t="shared" ref="L65:N65" si="50">(L50+L43+L49)/1000</f>
        <v>21</v>
      </c>
      <c r="M65" s="411">
        <f t="shared" si="50"/>
        <v>21</v>
      </c>
      <c r="N65" s="411">
        <f t="shared" si="50"/>
        <v>22</v>
      </c>
    </row>
    <row r="66" spans="1:14" ht="15" customHeight="1">
      <c r="A66" s="413" t="s">
        <v>58</v>
      </c>
      <c r="B66" s="413" t="s">
        <v>43</v>
      </c>
      <c r="C66" s="414">
        <f>SUM(C56:C65)</f>
        <v>475</v>
      </c>
      <c r="D66" s="414">
        <f t="shared" ref="D66:M66" si="51">SUM(D56:D65)</f>
        <v>495</v>
      </c>
      <c r="E66" s="414">
        <f t="shared" si="51"/>
        <v>527</v>
      </c>
      <c r="F66" s="414">
        <f t="shared" si="51"/>
        <v>515</v>
      </c>
      <c r="G66" s="414">
        <f t="shared" si="51"/>
        <v>515</v>
      </c>
      <c r="H66" s="414">
        <f t="shared" si="51"/>
        <v>529</v>
      </c>
      <c r="I66" s="414">
        <f t="shared" si="51"/>
        <v>516</v>
      </c>
      <c r="J66" s="414">
        <f t="shared" si="51"/>
        <v>497</v>
      </c>
      <c r="K66" s="414">
        <f t="shared" si="51"/>
        <v>520</v>
      </c>
      <c r="L66" s="414">
        <f t="shared" si="51"/>
        <v>522</v>
      </c>
      <c r="M66" s="414">
        <f t="shared" si="51"/>
        <v>544</v>
      </c>
      <c r="N66" s="414">
        <f t="shared" ref="N66" si="52">SUM(N56:N65)</f>
        <v>542</v>
      </c>
    </row>
    <row r="67" spans="1:14" s="29" customFormat="1" ht="15" customHeight="1">
      <c r="C67" s="427"/>
      <c r="D67" s="427"/>
      <c r="E67" s="427"/>
      <c r="F67" s="427"/>
      <c r="G67" s="427"/>
      <c r="H67" s="427"/>
      <c r="I67" s="427"/>
      <c r="J67" s="427"/>
      <c r="K67" s="427"/>
      <c r="L67" s="427"/>
    </row>
    <row r="68" spans="1:14" ht="15" customHeight="1"/>
    <row r="69" spans="1:14" ht="15" customHeight="1"/>
    <row r="70" spans="1:14" ht="15" customHeight="1"/>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25FAB884-5E17-4008-8139-33D910C7DEFE}" scale="96" fitToPage="1" topLeftCell="B1">
      <selection activeCell="L27" sqref="L27"/>
      <pageMargins left="0.75" right="0.75" top="1" bottom="1" header="0.5" footer="0.5"/>
      <pageSetup paperSize="9" scale="71" fitToHeight="0" orientation="landscape" r:id="rId1"/>
      <headerFooter alignWithMargins="0"/>
    </customSheetView>
    <customSheetView guid="{8DA78CF1-615A-4626-9893-6751995631A4}" scale="70" showGridLines="0" fitToPage="1" showRuler="0">
      <selection activeCell="H62" sqref="H62"/>
      <pageMargins left="0.75" right="0.75" top="1" bottom="1" header="0.5" footer="0.5"/>
      <pageSetup paperSize="9" scale="71" fitToHeight="0" orientation="landscape" r:id="rId2"/>
      <headerFooter alignWithMargins="0"/>
    </customSheetView>
    <customSheetView guid="{687A4863-1825-4D63-B732-E76682E6DE4F}" scale="78" showGridLines="0" fitToPage="1" showRuler="0" topLeftCell="B16">
      <selection activeCell="B67" sqref="A67:XFD163"/>
      <pageMargins left="0.75" right="0.75" top="1" bottom="1" header="0.5" footer="0.5"/>
      <pageSetup paperSize="9" scale="71" fitToHeight="0" orientation="landscape" r:id="rId3"/>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4"/>
      <headerFooter alignWithMargins="0"/>
    </customSheetView>
    <customSheetView guid="{9AF4A83C-CF57-4B40-8A74-6A0EA6C2FE5C}" scale="70" showGridLines="0" fitToPage="1" showRuler="0" topLeftCell="A22">
      <selection activeCell="Q50" sqref="Q50"/>
      <pageMargins left="0.75" right="0.75" top="1" bottom="1" header="0.5" footer="0.5"/>
      <pageSetup paperSize="9" scale="71" fitToHeight="0" orientation="landscape" r:id="rId5"/>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6"/>
      <headerFooter alignWithMargins="0"/>
    </customSheetView>
  </customSheetViews>
  <pageMargins left="0.75" right="0.75" top="1" bottom="1" header="0.5" footer="0.5"/>
  <pageSetup paperSize="9" scale="71" fitToHeight="0" orientation="landscape" r:id="rId7"/>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workbookViewId="0">
      <selection activeCell="B33" sqref="B33"/>
    </sheetView>
  </sheetViews>
  <sheetFormatPr defaultColWidth="9.140625" defaultRowHeight="14.25"/>
  <cols>
    <col min="1" max="2" width="50.7109375" style="72" customWidth="1"/>
    <col min="3" max="14" width="13.42578125" style="72" customWidth="1"/>
    <col min="15" max="16384" width="9.140625" style="72"/>
  </cols>
  <sheetData>
    <row r="1" spans="1:14"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633</v>
      </c>
      <c r="N1" s="79" t="s">
        <v>644</v>
      </c>
    </row>
    <row r="2" spans="1:14" ht="15" customHeight="1">
      <c r="A2" s="80" t="s">
        <v>228</v>
      </c>
      <c r="B2" s="75" t="s">
        <v>364</v>
      </c>
      <c r="C2" s="381">
        <v>-313223</v>
      </c>
      <c r="D2" s="381">
        <v>-317819</v>
      </c>
      <c r="E2" s="381">
        <v>-325457</v>
      </c>
      <c r="F2" s="381">
        <v>-336586</v>
      </c>
      <c r="G2" s="381">
        <v>-324869</v>
      </c>
      <c r="H2" s="381">
        <v>-336786</v>
      </c>
      <c r="I2" s="381">
        <v>-355258</v>
      </c>
      <c r="J2" s="381">
        <v>-387929</v>
      </c>
      <c r="K2" s="382">
        <v>-365099</v>
      </c>
      <c r="L2" s="382">
        <v>-373083</v>
      </c>
      <c r="M2" s="382">
        <v>-364128</v>
      </c>
      <c r="N2" s="382">
        <v>-373797</v>
      </c>
    </row>
    <row r="3" spans="1:14" ht="15" customHeight="1">
      <c r="A3" s="80" t="s">
        <v>232</v>
      </c>
      <c r="B3" s="75" t="s">
        <v>365</v>
      </c>
      <c r="C3" s="381">
        <v>-58065</v>
      </c>
      <c r="D3" s="381">
        <v>-55758</v>
      </c>
      <c r="E3" s="381">
        <v>-53343</v>
      </c>
      <c r="F3" s="381">
        <v>-49767</v>
      </c>
      <c r="G3" s="381">
        <v>-59367</v>
      </c>
      <c r="H3" s="381">
        <v>-58364</v>
      </c>
      <c r="I3" s="381">
        <v>-57479</v>
      </c>
      <c r="J3" s="381">
        <v>-58166</v>
      </c>
      <c r="K3" s="382">
        <v>-68093</v>
      </c>
      <c r="L3" s="382">
        <v>-64931</v>
      </c>
      <c r="M3" s="382">
        <v>-59348</v>
      </c>
      <c r="N3" s="382">
        <v>-48002</v>
      </c>
    </row>
    <row r="4" spans="1:14" ht="15" customHeight="1">
      <c r="A4" s="80" t="s">
        <v>647</v>
      </c>
      <c r="B4" s="75" t="s">
        <v>648</v>
      </c>
      <c r="C4" s="381"/>
      <c r="D4" s="381">
        <v>0</v>
      </c>
      <c r="E4" s="381">
        <v>0</v>
      </c>
      <c r="F4" s="381">
        <v>0</v>
      </c>
      <c r="G4" s="381">
        <v>0</v>
      </c>
      <c r="H4" s="381">
        <v>0</v>
      </c>
      <c r="I4" s="381">
        <v>0</v>
      </c>
      <c r="J4" s="381">
        <v>0</v>
      </c>
      <c r="K4" s="381">
        <v>0</v>
      </c>
      <c r="L4" s="381">
        <v>0</v>
      </c>
      <c r="M4" s="381">
        <v>0</v>
      </c>
      <c r="N4" s="382">
        <v>-1661</v>
      </c>
    </row>
    <row r="5" spans="1:14" ht="15" customHeight="1">
      <c r="A5" s="80" t="s">
        <v>229</v>
      </c>
      <c r="B5" s="75" t="s">
        <v>366</v>
      </c>
      <c r="C5" s="381">
        <v>-2480</v>
      </c>
      <c r="D5" s="381">
        <v>-5022</v>
      </c>
      <c r="E5" s="381">
        <v>-2827</v>
      </c>
      <c r="F5" s="381">
        <v>-8401</v>
      </c>
      <c r="G5" s="381">
        <v>-2877</v>
      </c>
      <c r="H5" s="381">
        <v>-4740</v>
      </c>
      <c r="I5" s="381">
        <v>-3271</v>
      </c>
      <c r="J5" s="381">
        <v>-9982</v>
      </c>
      <c r="K5" s="382">
        <v>-2527</v>
      </c>
      <c r="L5" s="382">
        <v>-4323</v>
      </c>
      <c r="M5" s="382">
        <v>-4051</v>
      </c>
      <c r="N5" s="382">
        <v>-8809</v>
      </c>
    </row>
    <row r="6" spans="1:14" ht="15" customHeight="1">
      <c r="A6" s="80" t="s">
        <v>230</v>
      </c>
      <c r="B6" s="75" t="s">
        <v>367</v>
      </c>
      <c r="C6" s="381">
        <v>-8395</v>
      </c>
      <c r="D6" s="381">
        <v>-9900</v>
      </c>
      <c r="E6" s="381">
        <v>-8782</v>
      </c>
      <c r="F6" s="381">
        <v>-12628</v>
      </c>
      <c r="G6" s="381">
        <v>-8299</v>
      </c>
      <c r="H6" s="381">
        <v>-9594</v>
      </c>
      <c r="I6" s="381">
        <v>-9548</v>
      </c>
      <c r="J6" s="381">
        <v>-13044</v>
      </c>
      <c r="K6" s="382">
        <v>-8896</v>
      </c>
      <c r="L6" s="382">
        <v>-9476</v>
      </c>
      <c r="M6" s="382">
        <v>-9990</v>
      </c>
      <c r="N6" s="382">
        <v>-11297</v>
      </c>
    </row>
    <row r="7" spans="1:14" ht="15" customHeight="1">
      <c r="A7" s="80" t="s">
        <v>231</v>
      </c>
      <c r="B7" s="89" t="s">
        <v>368</v>
      </c>
      <c r="C7" s="381">
        <v>-624</v>
      </c>
      <c r="D7" s="381">
        <v>-620</v>
      </c>
      <c r="E7" s="381">
        <v>-625</v>
      </c>
      <c r="F7" s="381">
        <v>7705</v>
      </c>
      <c r="G7" s="381">
        <v>-579</v>
      </c>
      <c r="H7" s="381">
        <v>16487</v>
      </c>
      <c r="I7" s="381">
        <v>-205</v>
      </c>
      <c r="J7" s="381">
        <v>13428</v>
      </c>
      <c r="K7" s="382">
        <v>-5</v>
      </c>
      <c r="L7" s="382">
        <v>-4</v>
      </c>
      <c r="M7" s="382">
        <v>-115</v>
      </c>
      <c r="N7" s="382">
        <v>7687</v>
      </c>
    </row>
    <row r="8" spans="1:14" ht="15" customHeight="1">
      <c r="A8" s="80" t="s">
        <v>233</v>
      </c>
      <c r="B8" s="75" t="s">
        <v>369</v>
      </c>
      <c r="C8" s="381">
        <v>0</v>
      </c>
      <c r="D8" s="381">
        <v>0</v>
      </c>
      <c r="E8" s="381">
        <v>0</v>
      </c>
      <c r="F8" s="381">
        <v>0</v>
      </c>
      <c r="G8" s="381">
        <v>0</v>
      </c>
      <c r="H8" s="381">
        <v>0</v>
      </c>
      <c r="I8" s="381">
        <v>0</v>
      </c>
      <c r="J8" s="381">
        <v>0</v>
      </c>
      <c r="K8" s="382">
        <v>-80000</v>
      </c>
      <c r="L8" s="382">
        <v>-6320</v>
      </c>
      <c r="M8" s="382">
        <v>-1860</v>
      </c>
      <c r="N8" s="382">
        <v>-11630</v>
      </c>
    </row>
    <row r="9" spans="1:14" s="2" customFormat="1" ht="15" customHeight="1">
      <c r="A9" s="94" t="s">
        <v>361</v>
      </c>
      <c r="B9" s="94" t="s">
        <v>370</v>
      </c>
      <c r="C9" s="198">
        <f t="shared" ref="C9:L9" si="0">SUM(C2:C8)</f>
        <v>-382787</v>
      </c>
      <c r="D9" s="198">
        <f t="shared" si="0"/>
        <v>-389119</v>
      </c>
      <c r="E9" s="198">
        <f t="shared" si="0"/>
        <v>-391034</v>
      </c>
      <c r="F9" s="198">
        <f t="shared" si="0"/>
        <v>-399677</v>
      </c>
      <c r="G9" s="198">
        <f t="shared" si="0"/>
        <v>-395991</v>
      </c>
      <c r="H9" s="198">
        <f t="shared" si="0"/>
        <v>-392997</v>
      </c>
      <c r="I9" s="198">
        <f t="shared" si="0"/>
        <v>-425761</v>
      </c>
      <c r="J9" s="198">
        <f t="shared" si="0"/>
        <v>-455693</v>
      </c>
      <c r="K9" s="383">
        <f t="shared" si="0"/>
        <v>-524620</v>
      </c>
      <c r="L9" s="383">
        <f t="shared" si="0"/>
        <v>-458137</v>
      </c>
      <c r="M9" s="383">
        <f t="shared" ref="M9:N9" si="1">SUM(M2:M8)</f>
        <v>-439492</v>
      </c>
      <c r="N9" s="383">
        <f t="shared" si="1"/>
        <v>-447509</v>
      </c>
    </row>
    <row r="10" spans="1:14" ht="15" customHeight="1">
      <c r="A10" s="81"/>
      <c r="B10" s="74"/>
    </row>
    <row r="11" spans="1:14" ht="15" customHeight="1">
      <c r="A11" s="379"/>
      <c r="B11" s="380"/>
    </row>
    <row r="12" spans="1:14" ht="15" customHeight="1" thickBot="1">
      <c r="A12" s="242" t="s">
        <v>360</v>
      </c>
      <c r="B12" s="242" t="s">
        <v>371</v>
      </c>
      <c r="C12" s="79" t="s">
        <v>115</v>
      </c>
      <c r="D12" s="79" t="s">
        <v>111</v>
      </c>
      <c r="E12" s="79" t="s">
        <v>116</v>
      </c>
      <c r="F12" s="79" t="s">
        <v>117</v>
      </c>
      <c r="G12" s="79" t="s">
        <v>118</v>
      </c>
      <c r="H12" s="79" t="s">
        <v>136</v>
      </c>
      <c r="I12" s="79" t="s">
        <v>137</v>
      </c>
      <c r="J12" s="79" t="s">
        <v>146</v>
      </c>
      <c r="K12" s="79" t="s">
        <v>155</v>
      </c>
      <c r="L12" s="79" t="s">
        <v>598</v>
      </c>
      <c r="M12" s="79" t="str">
        <f>M1</f>
        <v>III Q 2019</v>
      </c>
      <c r="N12" s="79" t="str">
        <f>N1</f>
        <v>IV Q 2019</v>
      </c>
    </row>
    <row r="13" spans="1:14" ht="15" customHeight="1">
      <c r="A13" s="80" t="s">
        <v>234</v>
      </c>
      <c r="B13" s="75" t="s">
        <v>377</v>
      </c>
      <c r="C13" s="76">
        <v>-12876</v>
      </c>
      <c r="D13" s="76">
        <v>-11748</v>
      </c>
      <c r="E13" s="76">
        <v>-14672</v>
      </c>
      <c r="F13" s="76">
        <v>-13615</v>
      </c>
      <c r="G13" s="76">
        <v>-12855</v>
      </c>
      <c r="H13" s="76">
        <v>-20043</v>
      </c>
      <c r="I13" s="76">
        <v>-15324</v>
      </c>
      <c r="J13" s="76">
        <v>-16474</v>
      </c>
      <c r="K13" s="272">
        <v>-15747</v>
      </c>
      <c r="L13" s="272">
        <v>-15742</v>
      </c>
      <c r="M13" s="272">
        <v>-14422</v>
      </c>
      <c r="N13" s="272">
        <v>-20634</v>
      </c>
    </row>
    <row r="14" spans="1:14" ht="15" customHeight="1">
      <c r="A14" s="80" t="s">
        <v>235</v>
      </c>
      <c r="B14" s="75" t="s">
        <v>378</v>
      </c>
      <c r="C14" s="76">
        <v>-54010</v>
      </c>
      <c r="D14" s="76">
        <v>-54373</v>
      </c>
      <c r="E14" s="76">
        <v>-54775</v>
      </c>
      <c r="F14" s="76">
        <v>-49889</v>
      </c>
      <c r="G14" s="76">
        <v>-60331</v>
      </c>
      <c r="H14" s="76">
        <v>-80520</v>
      </c>
      <c r="I14" s="76">
        <v>-75179</v>
      </c>
      <c r="J14" s="76">
        <v>-28406</v>
      </c>
      <c r="K14" s="272">
        <v>-77507</v>
      </c>
      <c r="L14" s="272">
        <v>-78060</v>
      </c>
      <c r="M14" s="272">
        <v>-80745</v>
      </c>
      <c r="N14" s="272">
        <v>-72028</v>
      </c>
    </row>
    <row r="15" spans="1:14" ht="15" customHeight="1">
      <c r="A15" s="80" t="s">
        <v>236</v>
      </c>
      <c r="B15" s="75" t="s">
        <v>665</v>
      </c>
      <c r="C15" s="76">
        <v>-13314</v>
      </c>
      <c r="D15" s="76">
        <v>-11378</v>
      </c>
      <c r="E15" s="76">
        <v>-13908</v>
      </c>
      <c r="F15" s="76">
        <v>-26974</v>
      </c>
      <c r="G15" s="76">
        <v>-18862</v>
      </c>
      <c r="H15" s="76">
        <v>-23433</v>
      </c>
      <c r="I15" s="76">
        <v>-20063</v>
      </c>
      <c r="J15" s="76">
        <v>-27315</v>
      </c>
      <c r="K15" s="272">
        <v>-14522</v>
      </c>
      <c r="L15" s="272">
        <v>-21059</v>
      </c>
      <c r="M15" s="272">
        <v>-22522</v>
      </c>
      <c r="N15" s="272">
        <v>-14322</v>
      </c>
    </row>
    <row r="16" spans="1:14" ht="15" customHeight="1">
      <c r="A16" s="80" t="s">
        <v>237</v>
      </c>
      <c r="B16" s="75" t="s">
        <v>379</v>
      </c>
      <c r="C16" s="76">
        <v>-8126</v>
      </c>
      <c r="D16" s="76">
        <v>-8131</v>
      </c>
      <c r="E16" s="76">
        <v>-7509</v>
      </c>
      <c r="F16" s="76">
        <v>-9821</v>
      </c>
      <c r="G16" s="76">
        <v>-8507</v>
      </c>
      <c r="H16" s="76">
        <v>-9020</v>
      </c>
      <c r="I16" s="76">
        <v>-7254</v>
      </c>
      <c r="J16" s="76">
        <v>-12496</v>
      </c>
      <c r="K16" s="272">
        <v>-9635</v>
      </c>
      <c r="L16" s="272">
        <v>-10536</v>
      </c>
      <c r="M16" s="272">
        <v>-10717</v>
      </c>
      <c r="N16" s="272">
        <v>-8258</v>
      </c>
    </row>
    <row r="17" spans="1:14" ht="15" customHeight="1">
      <c r="A17" s="80" t="s">
        <v>238</v>
      </c>
      <c r="B17" s="75" t="s">
        <v>380</v>
      </c>
      <c r="C17" s="76">
        <v>-3587</v>
      </c>
      <c r="D17" s="76">
        <v>-3087</v>
      </c>
      <c r="E17" s="76">
        <v>-3900</v>
      </c>
      <c r="F17" s="76">
        <v>-3563</v>
      </c>
      <c r="G17" s="76">
        <v>-10808</v>
      </c>
      <c r="H17" s="76">
        <v>-7629</v>
      </c>
      <c r="I17" s="76">
        <v>-7325</v>
      </c>
      <c r="J17" s="76">
        <v>1587</v>
      </c>
      <c r="K17" s="272">
        <v>-958</v>
      </c>
      <c r="L17" s="272">
        <v>-4770</v>
      </c>
      <c r="M17" s="272">
        <v>-6920</v>
      </c>
      <c r="N17" s="272">
        <v>-1948</v>
      </c>
    </row>
    <row r="18" spans="1:14" ht="15" customHeight="1">
      <c r="A18" s="80" t="s">
        <v>372</v>
      </c>
      <c r="B18" s="75" t="s">
        <v>381</v>
      </c>
      <c r="C18" s="76">
        <v>-20821</v>
      </c>
      <c r="D18" s="76">
        <v>-20231</v>
      </c>
      <c r="E18" s="76">
        <v>-23224</v>
      </c>
      <c r="F18" s="76">
        <v>-40340</v>
      </c>
      <c r="G18" s="76">
        <v>-36102</v>
      </c>
      <c r="H18" s="76">
        <v>-37999</v>
      </c>
      <c r="I18" s="76">
        <v>-31530</v>
      </c>
      <c r="J18" s="76">
        <v>-47374</v>
      </c>
      <c r="K18" s="272">
        <v>-40571</v>
      </c>
      <c r="L18" s="272">
        <v>-45574</v>
      </c>
      <c r="M18" s="272">
        <v>-41814</v>
      </c>
      <c r="N18" s="272">
        <v>-36375</v>
      </c>
    </row>
    <row r="19" spans="1:14" ht="15" customHeight="1">
      <c r="A19" s="80" t="s">
        <v>610</v>
      </c>
      <c r="B19" s="75" t="s">
        <v>382</v>
      </c>
      <c r="C19" s="76">
        <v>-6765</v>
      </c>
      <c r="D19" s="76">
        <v>-7098</v>
      </c>
      <c r="E19" s="76">
        <v>-7602</v>
      </c>
      <c r="F19" s="76">
        <v>-3821</v>
      </c>
      <c r="G19" s="76">
        <v>-7083</v>
      </c>
      <c r="H19" s="76">
        <v>-7698</v>
      </c>
      <c r="I19" s="76">
        <v>-6726</v>
      </c>
      <c r="J19" s="76">
        <v>-5849</v>
      </c>
      <c r="K19" s="272">
        <v>-7380</v>
      </c>
      <c r="L19" s="272">
        <v>-7650</v>
      </c>
      <c r="M19" s="272">
        <v>-7514</v>
      </c>
      <c r="N19" s="272">
        <v>-3184</v>
      </c>
    </row>
    <row r="20" spans="1:14" s="73" customFormat="1" ht="15" customHeight="1">
      <c r="A20" s="80" t="s">
        <v>373</v>
      </c>
      <c r="B20" s="257" t="s">
        <v>383</v>
      </c>
      <c r="C20" s="88">
        <v>-86295</v>
      </c>
      <c r="D20" s="88">
        <v>-87668</v>
      </c>
      <c r="E20" s="88">
        <v>-81112</v>
      </c>
      <c r="F20" s="88">
        <v>-93215</v>
      </c>
      <c r="G20" s="88">
        <v>-84167</v>
      </c>
      <c r="H20" s="88">
        <v>-84204</v>
      </c>
      <c r="I20" s="88">
        <v>-84653</v>
      </c>
      <c r="J20" s="88">
        <v>-93181</v>
      </c>
      <c r="K20" s="272">
        <v>-49625</v>
      </c>
      <c r="L20" s="272">
        <v>-34252</v>
      </c>
      <c r="M20" s="272">
        <v>-32849</v>
      </c>
      <c r="N20" s="272">
        <v>-12117</v>
      </c>
    </row>
    <row r="21" spans="1:14" ht="30" customHeight="1">
      <c r="A21" s="384" t="s">
        <v>239</v>
      </c>
      <c r="B21" s="89" t="s">
        <v>384</v>
      </c>
      <c r="C21" s="381">
        <v>-105152</v>
      </c>
      <c r="D21" s="381">
        <v>-70153</v>
      </c>
      <c r="E21" s="381">
        <v>-24541</v>
      </c>
      <c r="F21" s="381">
        <v>-24322</v>
      </c>
      <c r="G21" s="381">
        <v>-163630</v>
      </c>
      <c r="H21" s="381">
        <v>-3351</v>
      </c>
      <c r="I21" s="381">
        <v>-24742</v>
      </c>
      <c r="J21" s="381">
        <v>-28093</v>
      </c>
      <c r="K21" s="382">
        <v>-227995</v>
      </c>
      <c r="L21" s="382">
        <v>-29111</v>
      </c>
      <c r="M21" s="382">
        <v>-28041</v>
      </c>
      <c r="N21" s="382">
        <v>-26053</v>
      </c>
    </row>
    <row r="22" spans="1:14" ht="15" customHeight="1">
      <c r="A22" s="80" t="s">
        <v>240</v>
      </c>
      <c r="B22" s="75" t="s">
        <v>385</v>
      </c>
      <c r="C22" s="76">
        <v>-30598</v>
      </c>
      <c r="D22" s="76">
        <v>-32056</v>
      </c>
      <c r="E22" s="76">
        <v>-25584</v>
      </c>
      <c r="F22" s="76">
        <v>-45668</v>
      </c>
      <c r="G22" s="76">
        <v>-25464</v>
      </c>
      <c r="H22" s="76">
        <v>-43050</v>
      </c>
      <c r="I22" s="76">
        <v>-59360</v>
      </c>
      <c r="J22" s="76">
        <v>-61444</v>
      </c>
      <c r="K22" s="272">
        <v>-34702</v>
      </c>
      <c r="L22" s="272">
        <v>-43143</v>
      </c>
      <c r="M22" s="272">
        <v>-40751</v>
      </c>
      <c r="N22" s="272">
        <v>-65730</v>
      </c>
    </row>
    <row r="23" spans="1:14" ht="15" customHeight="1">
      <c r="A23" s="80" t="s">
        <v>374</v>
      </c>
      <c r="B23" s="75" t="s">
        <v>386</v>
      </c>
      <c r="C23" s="76">
        <v>-16399</v>
      </c>
      <c r="D23" s="76">
        <v>-16733</v>
      </c>
      <c r="E23" s="76">
        <v>-16052</v>
      </c>
      <c r="F23" s="76">
        <v>-18172</v>
      </c>
      <c r="G23" s="76">
        <v>-15241</v>
      </c>
      <c r="H23" s="76">
        <v>-16955</v>
      </c>
      <c r="I23" s="76">
        <v>-17067</v>
      </c>
      <c r="J23" s="76">
        <v>-22200</v>
      </c>
      <c r="K23" s="272">
        <v>-19188</v>
      </c>
      <c r="L23" s="272">
        <v>-14261</v>
      </c>
      <c r="M23" s="272">
        <v>-19287</v>
      </c>
      <c r="N23" s="272">
        <v>-14252</v>
      </c>
    </row>
    <row r="24" spans="1:14" ht="15" customHeight="1">
      <c r="A24" s="80" t="s">
        <v>241</v>
      </c>
      <c r="B24" s="75" t="s">
        <v>387</v>
      </c>
      <c r="C24" s="76">
        <v>-3609</v>
      </c>
      <c r="D24" s="76">
        <v>-3721</v>
      </c>
      <c r="E24" s="76">
        <v>-3764</v>
      </c>
      <c r="F24" s="76">
        <v>-1364</v>
      </c>
      <c r="G24" s="76">
        <v>-3562</v>
      </c>
      <c r="H24" s="76">
        <v>-3482</v>
      </c>
      <c r="I24" s="76">
        <v>-3492</v>
      </c>
      <c r="J24" s="76">
        <v>87</v>
      </c>
      <c r="K24" s="272">
        <v>-3320</v>
      </c>
      <c r="L24" s="272">
        <v>-3128</v>
      </c>
      <c r="M24" s="272">
        <v>-2985</v>
      </c>
      <c r="N24" s="272">
        <v>262</v>
      </c>
    </row>
    <row r="25" spans="1:14" ht="15" customHeight="1">
      <c r="A25" s="82" t="s">
        <v>375</v>
      </c>
      <c r="B25" s="77" t="s">
        <v>388</v>
      </c>
      <c r="C25" s="76">
        <v>-7501</v>
      </c>
      <c r="D25" s="76">
        <v>-6286</v>
      </c>
      <c r="E25" s="76">
        <v>-6667</v>
      </c>
      <c r="F25" s="76">
        <v>-8026</v>
      </c>
      <c r="G25" s="76">
        <v>-7172</v>
      </c>
      <c r="H25" s="76">
        <v>-8347</v>
      </c>
      <c r="I25" s="76">
        <v>-7630</v>
      </c>
      <c r="J25" s="76">
        <v>-7888</v>
      </c>
      <c r="K25" s="272">
        <v>-8888</v>
      </c>
      <c r="L25" s="272">
        <v>-9065</v>
      </c>
      <c r="M25" s="272">
        <v>-8897</v>
      </c>
      <c r="N25" s="272">
        <v>-8841</v>
      </c>
    </row>
    <row r="26" spans="1:14" ht="15" customHeight="1">
      <c r="A26" s="82" t="s">
        <v>376</v>
      </c>
      <c r="B26" s="77" t="s">
        <v>389</v>
      </c>
      <c r="C26" s="76">
        <v>-6104</v>
      </c>
      <c r="D26" s="76">
        <v>-5833</v>
      </c>
      <c r="E26" s="76">
        <v>-6904</v>
      </c>
      <c r="F26" s="76">
        <v>-8439</v>
      </c>
      <c r="G26" s="76">
        <v>-6192</v>
      </c>
      <c r="H26" s="76">
        <v>-5445</v>
      </c>
      <c r="I26" s="76">
        <v>-8149</v>
      </c>
      <c r="J26" s="76">
        <v>-12923</v>
      </c>
      <c r="K26" s="272">
        <v>-7921</v>
      </c>
      <c r="L26" s="272">
        <v>-5231</v>
      </c>
      <c r="M26" s="272">
        <v>-7552</v>
      </c>
      <c r="N26" s="272">
        <v>-6576</v>
      </c>
    </row>
    <row r="27" spans="1:14" s="73" customFormat="1" ht="15" customHeight="1">
      <c r="A27" s="82" t="s">
        <v>275</v>
      </c>
      <c r="B27" s="87" t="s">
        <v>300</v>
      </c>
      <c r="C27" s="88">
        <v>-5766</v>
      </c>
      <c r="D27" s="88">
        <v>-6472</v>
      </c>
      <c r="E27" s="88">
        <v>-5118</v>
      </c>
      <c r="F27" s="88">
        <v>-8363</v>
      </c>
      <c r="G27" s="88">
        <v>-6487</v>
      </c>
      <c r="H27" s="88">
        <v>-7240</v>
      </c>
      <c r="I27" s="88">
        <v>-6199</v>
      </c>
      <c r="J27" s="88">
        <v>-10775</v>
      </c>
      <c r="K27" s="272">
        <v>-3940</v>
      </c>
      <c r="L27" s="272">
        <v>-8477</v>
      </c>
      <c r="M27" s="272">
        <v>-7692</v>
      </c>
      <c r="N27" s="272">
        <v>-11418</v>
      </c>
    </row>
    <row r="28" spans="1:14" ht="15" customHeight="1">
      <c r="A28" s="80" t="s">
        <v>243</v>
      </c>
      <c r="B28" s="75" t="s">
        <v>390</v>
      </c>
      <c r="C28" s="76">
        <v>0</v>
      </c>
      <c r="D28" s="76">
        <v>0</v>
      </c>
      <c r="E28" s="76">
        <v>0</v>
      </c>
      <c r="F28" s="76">
        <v>0</v>
      </c>
      <c r="G28" s="76">
        <v>0</v>
      </c>
      <c r="H28" s="76">
        <v>0</v>
      </c>
      <c r="I28" s="76">
        <v>0</v>
      </c>
      <c r="J28" s="76">
        <v>0</v>
      </c>
      <c r="K28" s="272">
        <v>-1951</v>
      </c>
      <c r="L28" s="272">
        <v>-9568</v>
      </c>
      <c r="M28" s="272">
        <v>-4614</v>
      </c>
      <c r="N28" s="272">
        <v>-4542</v>
      </c>
    </row>
    <row r="29" spans="1:14" ht="15" customHeight="1">
      <c r="A29" s="282" t="s">
        <v>611</v>
      </c>
      <c r="B29" s="75" t="s">
        <v>612</v>
      </c>
      <c r="C29" s="76"/>
      <c r="D29" s="76"/>
      <c r="E29" s="76"/>
      <c r="F29" s="76"/>
      <c r="G29" s="76"/>
      <c r="H29" s="76"/>
      <c r="I29" s="76"/>
      <c r="J29" s="76"/>
      <c r="K29" s="272">
        <v>-8389</v>
      </c>
      <c r="L29" s="272">
        <v>-15437</v>
      </c>
      <c r="M29" s="272">
        <v>-12397</v>
      </c>
      <c r="N29" s="272">
        <v>-13436</v>
      </c>
    </row>
    <row r="30" spans="1:14" ht="15" customHeight="1">
      <c r="A30" s="279"/>
      <c r="B30" s="280"/>
      <c r="C30" s="281"/>
      <c r="D30" s="281"/>
      <c r="E30" s="281"/>
      <c r="F30" s="281"/>
      <c r="G30" s="281"/>
      <c r="H30" s="281"/>
      <c r="I30" s="281"/>
      <c r="J30" s="281"/>
      <c r="K30" s="275"/>
      <c r="L30" s="275"/>
      <c r="M30" s="275"/>
      <c r="N30" s="275"/>
    </row>
    <row r="31" spans="1:14" s="2" customFormat="1" ht="15.75">
      <c r="A31" s="94" t="s">
        <v>362</v>
      </c>
      <c r="B31" s="94" t="s">
        <v>667</v>
      </c>
      <c r="C31" s="270">
        <f t="shared" ref="C31" si="2">SUM(C13:C28)</f>
        <v>-380923</v>
      </c>
      <c r="D31" s="270">
        <f t="shared" ref="D31" si="3">SUM(D13:D28)</f>
        <v>-344968</v>
      </c>
      <c r="E31" s="270">
        <f t="shared" ref="E31" si="4">SUM(E13:E28)</f>
        <v>-295332</v>
      </c>
      <c r="F31" s="270">
        <f t="shared" ref="F31" si="5">SUM(F13:F28)</f>
        <v>-355592</v>
      </c>
      <c r="G31" s="270">
        <f t="shared" ref="G31" si="6">SUM(G13:G28)</f>
        <v>-466463</v>
      </c>
      <c r="H31" s="270">
        <f t="shared" ref="H31" si="7">SUM(H13:H28)</f>
        <v>-358416</v>
      </c>
      <c r="I31" s="270">
        <f t="shared" ref="I31" si="8">SUM(I13:I28)</f>
        <v>-374693</v>
      </c>
      <c r="J31" s="270">
        <f t="shared" ref="J31" si="9">SUM(J13:J28)</f>
        <v>-372744</v>
      </c>
      <c r="K31" s="274">
        <f>SUM(K13:K29)</f>
        <v>-532239</v>
      </c>
      <c r="L31" s="274">
        <f>SUM(L13:L29)</f>
        <v>-355064</v>
      </c>
      <c r="M31" s="274">
        <f>SUM(M13:M29)</f>
        <v>-349719</v>
      </c>
      <c r="N31" s="274">
        <f t="shared" ref="N31" si="10">SUM(N13:N29)</f>
        <v>-319452</v>
      </c>
    </row>
    <row r="32" spans="1:14" s="96" customFormat="1">
      <c r="K32" s="273"/>
      <c r="L32" s="283"/>
      <c r="M32" s="283"/>
      <c r="N32" s="283"/>
    </row>
    <row r="33" spans="1:14">
      <c r="A33" s="269" t="s">
        <v>599</v>
      </c>
      <c r="B33" s="269" t="s">
        <v>600</v>
      </c>
      <c r="C33" s="270">
        <f t="shared" ref="C33:J33" si="11">SUM(C34:C35)</f>
        <v>-101987</v>
      </c>
      <c r="D33" s="270">
        <f t="shared" si="11"/>
        <v>-66974</v>
      </c>
      <c r="E33" s="270">
        <f t="shared" si="11"/>
        <v>-21058</v>
      </c>
      <c r="F33" s="270">
        <f t="shared" si="11"/>
        <v>-20942</v>
      </c>
      <c r="G33" s="270">
        <f t="shared" si="11"/>
        <v>-160255</v>
      </c>
      <c r="H33" s="270">
        <f t="shared" si="11"/>
        <v>34</v>
      </c>
      <c r="I33" s="270">
        <f t="shared" si="11"/>
        <v>-21086</v>
      </c>
      <c r="J33" s="270">
        <f t="shared" si="11"/>
        <v>-21506</v>
      </c>
      <c r="K33" s="274">
        <f>SUM(K34:K35)</f>
        <v>-220604</v>
      </c>
      <c r="L33" s="274">
        <f>SUM(L34:L35)</f>
        <v>-20746</v>
      </c>
      <c r="M33" s="274">
        <f>SUM(M34:M35)</f>
        <v>-20802</v>
      </c>
      <c r="N33" s="274">
        <f>SUM(N34:N35)</f>
        <v>-20607</v>
      </c>
    </row>
    <row r="34" spans="1:14">
      <c r="A34" s="271" t="s">
        <v>601</v>
      </c>
      <c r="B34" s="271" t="s">
        <v>602</v>
      </c>
      <c r="C34" s="88">
        <v>-77117</v>
      </c>
      <c r="D34" s="88">
        <v>-49836</v>
      </c>
      <c r="E34" s="88">
        <v>0</v>
      </c>
      <c r="F34" s="88">
        <v>0</v>
      </c>
      <c r="G34" s="88">
        <v>-132329</v>
      </c>
      <c r="H34" s="88">
        <v>27797</v>
      </c>
      <c r="I34" s="88">
        <v>7500</v>
      </c>
      <c r="J34" s="88">
        <v>7500</v>
      </c>
      <c r="K34" s="272">
        <v>-199304</v>
      </c>
      <c r="L34" s="292">
        <v>0</v>
      </c>
      <c r="M34" s="292">
        <v>-9</v>
      </c>
      <c r="N34" s="292">
        <v>0</v>
      </c>
    </row>
    <row r="35" spans="1:14">
      <c r="A35" s="271" t="s">
        <v>603</v>
      </c>
      <c r="B35" s="271" t="s">
        <v>604</v>
      </c>
      <c r="C35" s="88">
        <v>-24870</v>
      </c>
      <c r="D35" s="88">
        <v>-17138</v>
      </c>
      <c r="E35" s="88">
        <v>-21058</v>
      </c>
      <c r="F35" s="88">
        <v>-20942</v>
      </c>
      <c r="G35" s="88">
        <v>-27926</v>
      </c>
      <c r="H35" s="88">
        <v>-27763</v>
      </c>
      <c r="I35" s="88">
        <v>-28586</v>
      </c>
      <c r="J35" s="88">
        <v>-29006</v>
      </c>
      <c r="K35" s="272">
        <v>-21300</v>
      </c>
      <c r="L35" s="272">
        <f>-42046-K35</f>
        <v>-20746</v>
      </c>
      <c r="M35" s="272">
        <v>-20793</v>
      </c>
      <c r="N35" s="272">
        <v>-20607</v>
      </c>
    </row>
    <row r="36" spans="1:14">
      <c r="C36" s="6"/>
      <c r="D36" s="6"/>
      <c r="E36" s="6"/>
      <c r="F36" s="6"/>
      <c r="G36" s="6"/>
      <c r="H36" s="6"/>
      <c r="I36" s="6"/>
      <c r="J36" s="6"/>
      <c r="K36" s="6"/>
      <c r="L36" s="6"/>
      <c r="M36" s="6"/>
      <c r="N36" s="6"/>
    </row>
    <row r="37" spans="1:14">
      <c r="C37" s="6"/>
      <c r="D37" s="6"/>
      <c r="E37" s="6"/>
      <c r="F37" s="6"/>
      <c r="G37" s="6"/>
      <c r="H37" s="6"/>
      <c r="I37" s="6"/>
      <c r="J37" s="6"/>
      <c r="K37" s="6"/>
      <c r="L37" s="6"/>
      <c r="M37" s="6"/>
      <c r="N37" s="6"/>
    </row>
  </sheetData>
  <customSheetViews>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8DA78CF1-615A-4626-9893-6751995631A4}" scale="90" fitToPage="1" showRuler="0">
      <pane xSplit="2" topLeftCell="H1" activePane="topRight" state="frozen"/>
      <selection pane="topRight" activeCell="O1" sqref="O1:O1048576"/>
      <rowBreaks count="6" manualBreakCount="6">
        <brk id="10" max="16383" man="1"/>
        <brk id="11" max="16383" man="1"/>
        <brk id="17" max="16383" man="1"/>
        <brk id="49" max="16383" man="1"/>
        <brk id="64" max="16383" man="1"/>
        <brk id="99" max="16383" man="1"/>
      </rowBreaks>
      <colBreaks count="5" manualBreakCount="5">
        <brk id="12" max="1048575" man="1"/>
        <brk id="20" max="1048575" man="1"/>
        <brk id="34" max="1048575" man="1"/>
        <brk id="48" max="1048575" man="1"/>
        <brk id="54" max="1048575" man="1"/>
      </colBreaks>
      <pageMargins left="0.75" right="0.75" top="1" bottom="1" header="0.5" footer="0.5"/>
      <pageSetup paperSize="9" scale="36" orientation="portrait" r:id="rId2"/>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9AF4A83C-CF57-4B40-8A74-6A0EA6C2FE5C}" scale="70" fitToPage="1" showRuler="0">
      <pane xSplit="2" topLeftCell="C1" activePane="topRight" state="frozen"/>
      <selection pane="topRight" activeCell="I7" sqref="I7"/>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s>
  <pageMargins left="0.75" right="0.75" top="1" bottom="1" header="0.5" footer="0.5"/>
  <pageSetup paperSize="9" scale="36" orientation="portrait" r:id="rId8"/>
  <headerFooter alignWithMargins="0"/>
  <rowBreaks count="3" manualBreakCount="3">
    <brk id="47" max="16383" man="1"/>
    <brk id="62" max="16383" man="1"/>
    <brk id="97" max="16383" man="1"/>
  </rowBreaks>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9"/>
  <sheetViews>
    <sheetView workbookViewId="0">
      <selection activeCell="B25" sqref="B25"/>
    </sheetView>
  </sheetViews>
  <sheetFormatPr defaultColWidth="9.140625" defaultRowHeight="15"/>
  <cols>
    <col min="1" max="1" width="50.7109375" style="91" customWidth="1"/>
    <col min="2" max="2" width="53.7109375" style="91" customWidth="1"/>
    <col min="3" max="3" width="13.42578125" style="91" customWidth="1"/>
    <col min="4" max="14" width="13.42578125" style="3" customWidth="1"/>
    <col min="15" max="15" width="11.42578125" style="91" customWidth="1"/>
    <col min="16" max="16" width="9.28515625" style="91" customWidth="1"/>
    <col min="17" max="17" width="12.5703125" style="3" customWidth="1"/>
    <col min="18" max="18" width="11.5703125" style="3" customWidth="1"/>
    <col min="19" max="21" width="12.42578125" style="3" customWidth="1"/>
    <col min="22" max="22" width="12.28515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633</v>
      </c>
      <c r="N2" s="40" t="s">
        <v>644</v>
      </c>
      <c r="Q2" s="92"/>
      <c r="R2" s="92"/>
      <c r="S2" s="92"/>
      <c r="T2" s="92"/>
      <c r="U2" s="92"/>
      <c r="V2" s="92"/>
      <c r="W2" s="92"/>
      <c r="X2" s="92"/>
      <c r="Y2" s="92"/>
    </row>
    <row r="3" spans="1:25" ht="25.5">
      <c r="A3" s="32" t="s">
        <v>404</v>
      </c>
      <c r="B3" s="32" t="s">
        <v>405</v>
      </c>
      <c r="C3" s="37">
        <v>51983</v>
      </c>
      <c r="D3" s="37">
        <v>39823</v>
      </c>
      <c r="E3" s="37">
        <v>53891</v>
      </c>
      <c r="F3" s="37">
        <v>51016</v>
      </c>
      <c r="G3" s="37">
        <v>21126</v>
      </c>
      <c r="H3" s="37">
        <v>50283</v>
      </c>
      <c r="I3" s="37">
        <v>43483</v>
      </c>
      <c r="J3" s="37">
        <v>35261</v>
      </c>
      <c r="K3" s="42">
        <v>43486</v>
      </c>
      <c r="L3" s="42">
        <v>38808</v>
      </c>
      <c r="M3" s="42">
        <v>59433</v>
      </c>
      <c r="N3" s="42">
        <v>69780</v>
      </c>
      <c r="P3" s="203"/>
    </row>
    <row r="4" spans="1:25" ht="15" customHeight="1">
      <c r="A4" s="33" t="s">
        <v>406</v>
      </c>
      <c r="B4" s="187" t="s">
        <v>407</v>
      </c>
      <c r="C4" s="38"/>
      <c r="D4" s="38"/>
      <c r="E4" s="38"/>
      <c r="F4" s="38"/>
      <c r="G4" s="38" t="s">
        <v>558</v>
      </c>
      <c r="H4" s="38" t="s">
        <v>558</v>
      </c>
      <c r="I4" s="38"/>
      <c r="J4" s="38"/>
      <c r="K4" s="42" t="s">
        <v>558</v>
      </c>
      <c r="L4" s="42" t="s">
        <v>558</v>
      </c>
      <c r="M4" s="42" t="s">
        <v>558</v>
      </c>
      <c r="N4" s="42">
        <v>0</v>
      </c>
      <c r="P4" s="203"/>
    </row>
    <row r="5" spans="1:25" ht="15" customHeight="1">
      <c r="A5" s="33" t="s">
        <v>408</v>
      </c>
      <c r="B5" s="187" t="s">
        <v>409</v>
      </c>
      <c r="C5" s="38">
        <v>3356</v>
      </c>
      <c r="D5" s="38">
        <v>697</v>
      </c>
      <c r="E5" s="38">
        <v>2583</v>
      </c>
      <c r="F5" s="38">
        <v>-2371</v>
      </c>
      <c r="G5" s="38" t="s">
        <v>558</v>
      </c>
      <c r="H5" s="38" t="s">
        <v>558</v>
      </c>
      <c r="I5" s="38" t="s">
        <v>558</v>
      </c>
      <c r="J5" s="38" t="s">
        <v>558</v>
      </c>
      <c r="K5" s="42" t="s">
        <v>558</v>
      </c>
      <c r="L5" s="42" t="s">
        <v>558</v>
      </c>
      <c r="M5" s="42" t="s">
        <v>558</v>
      </c>
      <c r="N5" s="42">
        <v>0</v>
      </c>
      <c r="P5" s="203"/>
    </row>
    <row r="6" spans="1:25">
      <c r="A6" s="33" t="s">
        <v>410</v>
      </c>
      <c r="B6" s="187" t="s">
        <v>411</v>
      </c>
      <c r="C6" s="38">
        <v>519</v>
      </c>
      <c r="D6" s="38">
        <v>-4292</v>
      </c>
      <c r="E6" s="38">
        <v>-907</v>
      </c>
      <c r="F6" s="38">
        <v>-1324</v>
      </c>
      <c r="G6" s="38" t="s">
        <v>558</v>
      </c>
      <c r="H6" s="38" t="s">
        <v>558</v>
      </c>
      <c r="I6" s="38" t="s">
        <v>558</v>
      </c>
      <c r="J6" s="38" t="s">
        <v>558</v>
      </c>
      <c r="K6" s="42" t="s">
        <v>558</v>
      </c>
      <c r="L6" s="42" t="s">
        <v>558</v>
      </c>
      <c r="M6" s="42" t="s">
        <v>558</v>
      </c>
      <c r="N6" s="42">
        <v>0</v>
      </c>
      <c r="P6" s="203"/>
    </row>
    <row r="7" spans="1:25" ht="30" customHeight="1">
      <c r="A7" s="33" t="s">
        <v>412</v>
      </c>
      <c r="B7" s="33" t="s">
        <v>413</v>
      </c>
      <c r="C7" s="38">
        <v>0</v>
      </c>
      <c r="D7" s="38">
        <v>0</v>
      </c>
      <c r="E7" s="38">
        <v>0</v>
      </c>
      <c r="F7" s="38">
        <v>0</v>
      </c>
      <c r="G7" s="38">
        <v>-3002</v>
      </c>
      <c r="H7" s="38">
        <v>-18</v>
      </c>
      <c r="I7" s="38">
        <v>-2041</v>
      </c>
      <c r="J7" s="38">
        <v>1387</v>
      </c>
      <c r="K7" s="42">
        <v>969</v>
      </c>
      <c r="L7" s="42">
        <v>-3102</v>
      </c>
      <c r="M7" s="42">
        <v>-4231</v>
      </c>
      <c r="N7" s="42">
        <v>-587</v>
      </c>
      <c r="P7" s="203"/>
    </row>
    <row r="8" spans="1:25" ht="30" customHeight="1">
      <c r="A8" s="33" t="s">
        <v>414</v>
      </c>
      <c r="B8" s="33" t="s">
        <v>668</v>
      </c>
      <c r="C8" s="38">
        <v>0</v>
      </c>
      <c r="D8" s="38">
        <v>0</v>
      </c>
      <c r="E8" s="38">
        <v>0</v>
      </c>
      <c r="F8" s="38">
        <v>0</v>
      </c>
      <c r="G8" s="38">
        <v>394</v>
      </c>
      <c r="H8" s="38">
        <v>11114</v>
      </c>
      <c r="I8" s="38">
        <v>10443</v>
      </c>
      <c r="J8" s="38">
        <v>480</v>
      </c>
      <c r="K8" s="42">
        <v>-17521</v>
      </c>
      <c r="L8" s="42">
        <v>-3039</v>
      </c>
      <c r="M8" s="42">
        <v>1898</v>
      </c>
      <c r="N8" s="42">
        <v>-499</v>
      </c>
      <c r="P8" s="203"/>
    </row>
    <row r="9" spans="1:25" ht="30" customHeight="1">
      <c r="A9" s="33" t="s">
        <v>415</v>
      </c>
      <c r="B9" s="33" t="s">
        <v>669</v>
      </c>
      <c r="C9" s="38">
        <v>0</v>
      </c>
      <c r="D9" s="38">
        <v>0</v>
      </c>
      <c r="E9" s="38">
        <v>0</v>
      </c>
      <c r="F9" s="38">
        <v>0</v>
      </c>
      <c r="G9" s="38">
        <v>-19601</v>
      </c>
      <c r="H9" s="38">
        <v>7870</v>
      </c>
      <c r="I9" s="38">
        <v>8566</v>
      </c>
      <c r="J9" s="38">
        <v>-21206</v>
      </c>
      <c r="K9" s="42">
        <v>21498</v>
      </c>
      <c r="L9" s="42">
        <v>-2466</v>
      </c>
      <c r="M9" s="42">
        <v>6680</v>
      </c>
      <c r="N9" s="42">
        <v>4442</v>
      </c>
      <c r="P9" s="203"/>
    </row>
    <row r="10" spans="1:25" s="90" customFormat="1">
      <c r="A10" s="35" t="s">
        <v>43</v>
      </c>
      <c r="B10" s="35"/>
      <c r="C10" s="39">
        <f>SUM(C3:C9)</f>
        <v>55858</v>
      </c>
      <c r="D10" s="39">
        <f t="shared" ref="D10:F10" si="0">SUM(D3:D9)</f>
        <v>36228</v>
      </c>
      <c r="E10" s="39">
        <f t="shared" si="0"/>
        <v>55567</v>
      </c>
      <c r="F10" s="39">
        <f t="shared" si="0"/>
        <v>47321</v>
      </c>
      <c r="G10" s="39">
        <f>SUM(G3:G9)</f>
        <v>-1083</v>
      </c>
      <c r="H10" s="39">
        <f t="shared" ref="H10:K10" si="1">SUM(H3:H9)</f>
        <v>69249</v>
      </c>
      <c r="I10" s="39">
        <f t="shared" si="1"/>
        <v>60451</v>
      </c>
      <c r="J10" s="39">
        <f t="shared" si="1"/>
        <v>15922</v>
      </c>
      <c r="K10" s="39">
        <f t="shared" si="1"/>
        <v>48432</v>
      </c>
      <c r="L10" s="39">
        <f t="shared" ref="L10" si="2">SUM(L3:L9)</f>
        <v>30201</v>
      </c>
      <c r="M10" s="39">
        <f>M3+M7+M8+M9</f>
        <v>63780</v>
      </c>
      <c r="N10" s="39">
        <f>N3+N7+N8+N9</f>
        <v>73136</v>
      </c>
    </row>
    <row r="11" spans="1:25">
      <c r="B11" s="252"/>
      <c r="C11" s="253"/>
      <c r="D11" s="254"/>
      <c r="E11" s="254"/>
      <c r="F11" s="254"/>
      <c r="G11" s="254"/>
      <c r="I11" s="254"/>
      <c r="J11" s="254"/>
      <c r="K11" s="254"/>
      <c r="L11" s="254"/>
      <c r="M11" s="254"/>
      <c r="N11" s="254"/>
    </row>
    <row r="12" spans="1:25" s="98" customFormat="1">
      <c r="A12" s="97"/>
      <c r="B12" s="252"/>
      <c r="C12" s="255"/>
      <c r="D12" s="255"/>
      <c r="E12" s="255"/>
      <c r="F12" s="255"/>
      <c r="G12" s="255"/>
      <c r="H12" s="254"/>
      <c r="I12" s="255"/>
      <c r="J12" s="255"/>
      <c r="K12" s="255"/>
      <c r="L12" s="255"/>
      <c r="M12" s="255"/>
      <c r="N12" s="255"/>
      <c r="O12" s="97"/>
      <c r="P12" s="97"/>
    </row>
    <row r="13" spans="1:25">
      <c r="B13" s="252"/>
      <c r="C13" s="252"/>
      <c r="D13" s="193"/>
      <c r="E13" s="193"/>
      <c r="F13" s="193"/>
      <c r="G13" s="193"/>
      <c r="H13" s="193"/>
      <c r="I13" s="193"/>
      <c r="J13" s="193"/>
      <c r="K13" s="193"/>
      <c r="L13" s="193"/>
      <c r="M13" s="193"/>
      <c r="N13" s="193"/>
    </row>
    <row r="14" spans="1:25">
      <c r="B14" s="252"/>
      <c r="C14" s="256"/>
      <c r="D14" s="256"/>
      <c r="E14" s="256"/>
      <c r="F14" s="256"/>
      <c r="G14" s="193"/>
      <c r="H14" s="194"/>
      <c r="I14" s="194"/>
      <c r="J14" s="193"/>
      <c r="K14" s="193"/>
      <c r="L14" s="193"/>
      <c r="M14" s="193"/>
      <c r="N14" s="193"/>
    </row>
    <row r="15" spans="1:25">
      <c r="B15" s="252"/>
      <c r="C15" s="252"/>
      <c r="D15" s="193"/>
      <c r="E15" s="193"/>
      <c r="F15" s="193"/>
      <c r="G15" s="193"/>
      <c r="H15" s="193"/>
      <c r="I15" s="193"/>
      <c r="J15" s="193"/>
      <c r="K15" s="193"/>
      <c r="L15" s="193"/>
      <c r="M15" s="193"/>
      <c r="N15" s="193"/>
    </row>
    <row r="16" spans="1:25">
      <c r="B16" s="252"/>
      <c r="C16" s="252"/>
      <c r="D16" s="193"/>
      <c r="E16" s="193"/>
      <c r="F16" s="193"/>
      <c r="G16" s="193"/>
      <c r="H16" s="193"/>
      <c r="I16" s="193"/>
      <c r="J16" s="193"/>
      <c r="K16" s="193"/>
      <c r="L16" s="193"/>
      <c r="M16" s="193"/>
      <c r="N16" s="193"/>
    </row>
    <row r="17" spans="2:14">
      <c r="B17" s="252"/>
      <c r="C17" s="252"/>
      <c r="D17" s="193"/>
      <c r="E17" s="194"/>
      <c r="F17" s="193"/>
      <c r="G17" s="194"/>
      <c r="H17" s="193"/>
      <c r="I17" s="193"/>
      <c r="J17" s="193"/>
      <c r="K17" s="193"/>
      <c r="L17" s="193"/>
      <c r="M17" s="193"/>
      <c r="N17" s="193"/>
    </row>
    <row r="18" spans="2:14">
      <c r="B18" s="252"/>
      <c r="C18" s="252"/>
      <c r="D18" s="193"/>
      <c r="E18" s="194"/>
      <c r="F18" s="193"/>
      <c r="G18" s="194"/>
      <c r="H18" s="193"/>
      <c r="I18" s="193"/>
      <c r="J18" s="193"/>
      <c r="K18" s="193"/>
      <c r="L18" s="193"/>
      <c r="M18" s="193"/>
      <c r="N18" s="193"/>
    </row>
    <row r="19" spans="2:14">
      <c r="B19" s="252"/>
      <c r="C19" s="252"/>
      <c r="D19" s="193"/>
      <c r="E19" s="194"/>
      <c r="F19" s="193"/>
      <c r="G19" s="194"/>
      <c r="H19" s="193"/>
      <c r="I19" s="193"/>
      <c r="J19" s="193"/>
      <c r="K19" s="193"/>
      <c r="L19" s="193"/>
      <c r="M19" s="193"/>
      <c r="N19" s="193"/>
    </row>
  </sheetData>
  <customSheetViews>
    <customSheetView guid="{25FAB884-5E17-4008-8139-33D910C7DEFE}">
      <selection activeCell="I23" sqref="I23"/>
      <pageMargins left="0.7" right="0.7" top="0.75" bottom="0.75" header="0.3" footer="0.3"/>
    </customSheetView>
    <customSheetView guid="{8DA78CF1-615A-4626-9893-6751995631A4}" topLeftCell="B1">
      <selection activeCell="C13" sqref="C13"/>
      <pageMargins left="0.7" right="0.7" top="0.75" bottom="0.75" header="0.3" footer="0.3"/>
    </customSheetView>
    <customSheetView guid="{687A4863-1825-4D63-B732-E76682E6DE4F}" scale="108" topLeftCell="F1">
      <selection activeCell="O1" sqref="O1:Y1048576"/>
      <pageMargins left="0.7" right="0.7" top="0.75" bottom="0.75" header="0.3" footer="0.3"/>
    </customSheetView>
    <customSheetView guid="{899D69CD-4B7E-42BC-9944-5BD922EB798C}">
      <selection activeCell="M10" sqref="M10"/>
      <pageMargins left="0.7" right="0.7" top="0.75" bottom="0.75" header="0.3" footer="0.3"/>
    </customSheetView>
    <customSheetView guid="{9AF4A83C-CF57-4B40-8A74-6A0EA6C2FE5C}">
      <selection activeCell="K10" sqref="K10:L10"/>
      <pageMargins left="0.7" right="0.7" top="0.75" bottom="0.75" header="0.3" footer="0.3"/>
    </customSheetView>
    <customSheetView guid="{57267270-6A97-4850-9DB6-FE6B399379AA}">
      <selection activeCell="L9" sqref="L9"/>
      <pageMargins left="0.7" right="0.7" top="0.75" bottom="0.75" header="0.3" footer="0.3"/>
    </customSheetView>
    <customSheetView guid="{12F8D032-8143-430B-8DFF-852E8796C402}">
      <selection activeCell="B18" sqref="B18"/>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selection activeCell="B22" sqref="B22"/>
    </sheetView>
  </sheetViews>
  <sheetFormatPr defaultColWidth="9.140625" defaultRowHeight="15"/>
  <cols>
    <col min="1" max="2" width="50.7109375" style="91" customWidth="1"/>
    <col min="3" max="3" width="13.42578125" style="91" customWidth="1"/>
    <col min="4" max="11" width="13.42578125" style="3" customWidth="1"/>
    <col min="12" max="14" width="13.42578125" style="91" customWidth="1"/>
    <col min="15" max="15" width="12.5703125" style="3" customWidth="1"/>
    <col min="16" max="16" width="11.5703125" style="3" customWidth="1"/>
    <col min="17" max="19" width="12.42578125" style="3" customWidth="1"/>
    <col min="20" max="20" width="12.28515625" style="3" customWidth="1"/>
    <col min="21" max="23" width="10.140625" style="3" bestFit="1" customWidth="1"/>
    <col min="24" max="16384" width="9.140625" style="3"/>
  </cols>
  <sheetData>
    <row r="1" spans="1:23" s="91" customFormat="1" ht="15.75" thickBot="1">
      <c r="A1" s="189" t="s">
        <v>94</v>
      </c>
      <c r="B1" s="189" t="s">
        <v>7</v>
      </c>
      <c r="C1" s="36" t="s">
        <v>189</v>
      </c>
      <c r="D1" s="36" t="s">
        <v>190</v>
      </c>
      <c r="E1" s="36" t="s">
        <v>191</v>
      </c>
      <c r="F1" s="36" t="s">
        <v>192</v>
      </c>
      <c r="G1" s="36" t="s">
        <v>193</v>
      </c>
      <c r="H1" s="36" t="s">
        <v>194</v>
      </c>
      <c r="I1" s="36" t="s">
        <v>195</v>
      </c>
      <c r="J1" s="36" t="s">
        <v>196</v>
      </c>
      <c r="K1" s="40" t="s">
        <v>197</v>
      </c>
      <c r="L1" s="260" t="s">
        <v>198</v>
      </c>
      <c r="M1" s="260" t="s">
        <v>633</v>
      </c>
      <c r="N1" s="260" t="s">
        <v>644</v>
      </c>
      <c r="O1" s="92"/>
      <c r="P1" s="92"/>
      <c r="Q1" s="92"/>
      <c r="R1" s="92"/>
      <c r="S1" s="92"/>
      <c r="T1" s="92"/>
      <c r="U1" s="92"/>
      <c r="V1" s="92"/>
      <c r="W1" s="92"/>
    </row>
    <row r="2" spans="1:23" ht="38.25">
      <c r="A2" s="33" t="s">
        <v>543</v>
      </c>
      <c r="B2" s="33" t="s">
        <v>672</v>
      </c>
      <c r="C2" s="37">
        <v>0</v>
      </c>
      <c r="D2" s="37">
        <v>0</v>
      </c>
      <c r="E2" s="37">
        <v>0</v>
      </c>
      <c r="F2" s="37">
        <v>0</v>
      </c>
      <c r="G2" s="38">
        <v>210</v>
      </c>
      <c r="H2" s="38">
        <v>7498</v>
      </c>
      <c r="I2" s="38">
        <v>13897</v>
      </c>
      <c r="J2" s="38">
        <v>6722</v>
      </c>
      <c r="K2" s="38">
        <v>8486</v>
      </c>
      <c r="L2" s="261">
        <v>40500</v>
      </c>
      <c r="M2" s="261">
        <v>37508</v>
      </c>
      <c r="N2" s="261">
        <v>38179</v>
      </c>
    </row>
    <row r="3" spans="1:23" ht="38.25">
      <c r="A3" s="187" t="s">
        <v>544</v>
      </c>
      <c r="B3" s="187" t="s">
        <v>671</v>
      </c>
      <c r="C3" s="38">
        <v>0</v>
      </c>
      <c r="D3" s="38">
        <v>0</v>
      </c>
      <c r="E3" s="38">
        <v>0</v>
      </c>
      <c r="F3" s="38">
        <v>0</v>
      </c>
      <c r="G3" s="38">
        <v>-4</v>
      </c>
      <c r="H3" s="38">
        <v>3</v>
      </c>
      <c r="I3" s="38">
        <v>-23</v>
      </c>
      <c r="J3" s="38">
        <v>0</v>
      </c>
      <c r="K3" s="38">
        <v>0</v>
      </c>
      <c r="L3" s="261">
        <v>-8</v>
      </c>
      <c r="M3" s="261">
        <v>26</v>
      </c>
      <c r="N3" s="261">
        <v>0</v>
      </c>
    </row>
    <row r="4" spans="1:23" ht="38.25">
      <c r="A4" s="187" t="s">
        <v>545</v>
      </c>
      <c r="B4" s="187" t="s">
        <v>670</v>
      </c>
      <c r="C4" s="38">
        <v>0</v>
      </c>
      <c r="D4" s="38">
        <v>0</v>
      </c>
      <c r="E4" s="38">
        <v>0</v>
      </c>
      <c r="F4" s="38">
        <v>0</v>
      </c>
      <c r="G4" s="38">
        <v>4118</v>
      </c>
      <c r="H4" s="38">
        <v>10713</v>
      </c>
      <c r="I4" s="38">
        <v>14988</v>
      </c>
      <c r="J4" s="38">
        <v>-17476</v>
      </c>
      <c r="K4" s="38">
        <v>24673</v>
      </c>
      <c r="L4" s="261">
        <v>17618</v>
      </c>
      <c r="M4" s="261">
        <v>-1927</v>
      </c>
      <c r="N4" s="261">
        <v>16594</v>
      </c>
    </row>
    <row r="5" spans="1:23" ht="25.5">
      <c r="A5" s="187" t="s">
        <v>554</v>
      </c>
      <c r="B5" s="187" t="s">
        <v>556</v>
      </c>
      <c r="C5" s="202">
        <v>10775</v>
      </c>
      <c r="D5" s="202">
        <v>0</v>
      </c>
      <c r="E5" s="202">
        <v>1866</v>
      </c>
      <c r="F5" s="202">
        <v>13823</v>
      </c>
      <c r="G5" s="38">
        <v>0</v>
      </c>
      <c r="H5" s="38">
        <v>0</v>
      </c>
      <c r="I5" s="38">
        <v>0</v>
      </c>
      <c r="J5" s="38">
        <v>0</v>
      </c>
      <c r="K5" s="38">
        <v>0</v>
      </c>
      <c r="L5" s="261">
        <v>0</v>
      </c>
      <c r="M5" s="261">
        <v>0</v>
      </c>
      <c r="N5" s="261">
        <v>0</v>
      </c>
    </row>
    <row r="6" spans="1:23" ht="25.5">
      <c r="A6" s="187" t="s">
        <v>555</v>
      </c>
      <c r="B6" s="187" t="s">
        <v>557</v>
      </c>
      <c r="C6" s="202">
        <v>5503</v>
      </c>
      <c r="D6" s="202">
        <v>9700</v>
      </c>
      <c r="E6" s="202">
        <v>3503</v>
      </c>
      <c r="F6" s="202">
        <v>2116</v>
      </c>
      <c r="G6" s="38">
        <v>0</v>
      </c>
      <c r="H6" s="38">
        <v>0</v>
      </c>
      <c r="I6" s="38">
        <v>0</v>
      </c>
      <c r="J6" s="38">
        <v>0</v>
      </c>
      <c r="K6" s="38">
        <v>0</v>
      </c>
      <c r="L6" s="261">
        <v>0</v>
      </c>
      <c r="M6" s="261">
        <v>0</v>
      </c>
      <c r="N6" s="261">
        <v>0</v>
      </c>
    </row>
    <row r="7" spans="1:23" ht="15" customHeight="1">
      <c r="A7" s="187" t="s">
        <v>645</v>
      </c>
      <c r="B7" s="187" t="s">
        <v>646</v>
      </c>
      <c r="C7" s="202">
        <v>0</v>
      </c>
      <c r="D7" s="202"/>
      <c r="E7" s="202">
        <v>-461</v>
      </c>
      <c r="F7" s="202">
        <v>0</v>
      </c>
      <c r="G7" s="38">
        <v>0</v>
      </c>
      <c r="H7" s="38">
        <v>0</v>
      </c>
      <c r="I7" s="38">
        <v>0</v>
      </c>
      <c r="J7" s="38">
        <v>0</v>
      </c>
      <c r="K7" s="38">
        <v>0</v>
      </c>
      <c r="L7" s="261">
        <v>0</v>
      </c>
      <c r="M7" s="261">
        <v>0</v>
      </c>
      <c r="N7" s="261">
        <v>-11244</v>
      </c>
    </row>
    <row r="8" spans="1:23" ht="15" customHeight="1">
      <c r="A8" s="59" t="s">
        <v>546</v>
      </c>
      <c r="B8" s="59" t="s">
        <v>550</v>
      </c>
      <c r="C8" s="201">
        <f t="shared" ref="C8:L8" si="0">SUM(C2:C7)</f>
        <v>16278</v>
      </c>
      <c r="D8" s="201">
        <f t="shared" si="0"/>
        <v>9700</v>
      </c>
      <c r="E8" s="201">
        <f t="shared" si="0"/>
        <v>4908</v>
      </c>
      <c r="F8" s="201">
        <f t="shared" si="0"/>
        <v>15939</v>
      </c>
      <c r="G8" s="63">
        <f t="shared" si="0"/>
        <v>4324</v>
      </c>
      <c r="H8" s="63">
        <f t="shared" si="0"/>
        <v>18214</v>
      </c>
      <c r="I8" s="63">
        <f t="shared" si="0"/>
        <v>28862</v>
      </c>
      <c r="J8" s="63">
        <f t="shared" si="0"/>
        <v>-10754</v>
      </c>
      <c r="K8" s="63">
        <f t="shared" si="0"/>
        <v>33159</v>
      </c>
      <c r="L8" s="262">
        <f t="shared" si="0"/>
        <v>58110</v>
      </c>
      <c r="M8" s="262">
        <f t="shared" ref="M8:N8" si="1">SUM(M2:M7)</f>
        <v>35607</v>
      </c>
      <c r="N8" s="262">
        <f t="shared" si="1"/>
        <v>43529</v>
      </c>
    </row>
    <row r="9" spans="1:23" ht="15" customHeight="1">
      <c r="A9" s="33" t="s">
        <v>547</v>
      </c>
      <c r="B9" s="33" t="s">
        <v>551</v>
      </c>
      <c r="C9" s="199">
        <v>2789</v>
      </c>
      <c r="D9" s="199">
        <v>2898</v>
      </c>
      <c r="E9" s="199">
        <v>10806</v>
      </c>
      <c r="F9" s="199">
        <v>7267</v>
      </c>
      <c r="G9" s="38">
        <v>-9332</v>
      </c>
      <c r="H9" s="38">
        <v>6939</v>
      </c>
      <c r="I9" s="38">
        <v>8220</v>
      </c>
      <c r="J9" s="38">
        <v>-22389</v>
      </c>
      <c r="K9" s="38">
        <v>-4108</v>
      </c>
      <c r="L9" s="261">
        <v>-7809</v>
      </c>
      <c r="M9" s="261">
        <v>-46668</v>
      </c>
      <c r="N9" s="261">
        <v>50910</v>
      </c>
    </row>
    <row r="10" spans="1:23" ht="15" customHeight="1">
      <c r="A10" s="33" t="s">
        <v>548</v>
      </c>
      <c r="B10" s="33" t="s">
        <v>552</v>
      </c>
      <c r="C10" s="199">
        <v>-1890</v>
      </c>
      <c r="D10" s="199">
        <v>-1828</v>
      </c>
      <c r="E10" s="199">
        <v>-11752</v>
      </c>
      <c r="F10" s="199">
        <v>-7613</v>
      </c>
      <c r="G10" s="38">
        <v>8935</v>
      </c>
      <c r="H10" s="38">
        <v>-8253</v>
      </c>
      <c r="I10" s="38">
        <v>-7633</v>
      </c>
      <c r="J10" s="38">
        <v>20347</v>
      </c>
      <c r="K10" s="38">
        <v>3804</v>
      </c>
      <c r="L10" s="261">
        <v>11595</v>
      </c>
      <c r="M10" s="261">
        <v>53402</v>
      </c>
      <c r="N10" s="261">
        <v>-46056</v>
      </c>
    </row>
    <row r="11" spans="1:23" ht="25.5">
      <c r="A11" s="188" t="s">
        <v>549</v>
      </c>
      <c r="B11" s="188" t="s">
        <v>553</v>
      </c>
      <c r="C11" s="200">
        <f t="shared" ref="C11:H11" si="2">SUM(C9:C10)</f>
        <v>899</v>
      </c>
      <c r="D11" s="200">
        <f t="shared" si="2"/>
        <v>1070</v>
      </c>
      <c r="E11" s="200">
        <f t="shared" si="2"/>
        <v>-946</v>
      </c>
      <c r="F11" s="200">
        <f t="shared" si="2"/>
        <v>-346</v>
      </c>
      <c r="G11" s="190">
        <f t="shared" si="2"/>
        <v>-397</v>
      </c>
      <c r="H11" s="190">
        <f t="shared" si="2"/>
        <v>-1314</v>
      </c>
      <c r="I11" s="190">
        <f t="shared" ref="I11:K11" si="3">SUM(I9:I10)</f>
        <v>587</v>
      </c>
      <c r="J11" s="190">
        <f t="shared" si="3"/>
        <v>-2042</v>
      </c>
      <c r="K11" s="190">
        <f t="shared" si="3"/>
        <v>-304</v>
      </c>
      <c r="L11" s="190">
        <f>SUM(L9:L10)</f>
        <v>3786</v>
      </c>
      <c r="M11" s="190">
        <f>SUM(M9:M10)</f>
        <v>6734</v>
      </c>
      <c r="N11" s="190">
        <f>SUM(N9:N10)</f>
        <v>4854</v>
      </c>
    </row>
    <row r="12" spans="1:23">
      <c r="A12" s="35" t="s">
        <v>58</v>
      </c>
      <c r="B12" s="35" t="s">
        <v>43</v>
      </c>
      <c r="C12" s="198">
        <f t="shared" ref="C12:H12" si="4">C8+C11</f>
        <v>17177</v>
      </c>
      <c r="D12" s="198">
        <f t="shared" si="4"/>
        <v>10770</v>
      </c>
      <c r="E12" s="198">
        <f t="shared" si="4"/>
        <v>3962</v>
      </c>
      <c r="F12" s="198">
        <f t="shared" si="4"/>
        <v>15593</v>
      </c>
      <c r="G12" s="39">
        <f t="shared" si="4"/>
        <v>3927</v>
      </c>
      <c r="H12" s="39">
        <f t="shared" si="4"/>
        <v>16900</v>
      </c>
      <c r="I12" s="39">
        <f t="shared" ref="I12:K12" si="5">I8+I11</f>
        <v>29449</v>
      </c>
      <c r="J12" s="39">
        <f t="shared" si="5"/>
        <v>-12796</v>
      </c>
      <c r="K12" s="39">
        <f t="shared" si="5"/>
        <v>32855</v>
      </c>
      <c r="L12" s="263">
        <f>L8+L11</f>
        <v>61896</v>
      </c>
      <c r="M12" s="263">
        <f>M8+M11</f>
        <v>42341</v>
      </c>
      <c r="N12" s="263">
        <f>N8+N11</f>
        <v>48383</v>
      </c>
    </row>
    <row r="13" spans="1:23">
      <c r="A13" s="191"/>
      <c r="B13" s="191"/>
      <c r="C13" s="256">
        <f>C12-'P&amp;L'!C13</f>
        <v>0</v>
      </c>
      <c r="D13" s="256">
        <f>D12-'P&amp;L'!D13</f>
        <v>0</v>
      </c>
      <c r="E13" s="256">
        <f>E12-'P&amp;L'!E13</f>
        <v>0</v>
      </c>
      <c r="F13" s="256">
        <f>F12-'P&amp;L'!F13</f>
        <v>0</v>
      </c>
      <c r="G13" s="256">
        <f>G12-'P&amp;L'!G13</f>
        <v>0</v>
      </c>
      <c r="H13" s="256">
        <f>H12-'P&amp;L'!H13</f>
        <v>0</v>
      </c>
      <c r="I13" s="256">
        <f>I12-'P&amp;L'!I13</f>
        <v>0</v>
      </c>
      <c r="J13" s="256">
        <f>J12-'P&amp;L'!J13</f>
        <v>0</v>
      </c>
      <c r="K13" s="256">
        <f>K12-'P&amp;L'!K13</f>
        <v>0</v>
      </c>
      <c r="L13" s="256">
        <f>L12-'P&amp;L'!L13</f>
        <v>0</v>
      </c>
      <c r="M13" s="256">
        <f>M12-'P&amp;L'!M13</f>
        <v>0</v>
      </c>
      <c r="N13" s="256">
        <f>N12-'P&amp;L'!N13</f>
        <v>0</v>
      </c>
    </row>
    <row r="14" spans="1:23">
      <c r="A14" s="191"/>
      <c r="B14" s="191"/>
      <c r="G14" s="192"/>
      <c r="H14" s="192"/>
      <c r="I14" s="192"/>
      <c r="J14" s="192"/>
      <c r="K14" s="192"/>
    </row>
    <row r="15" spans="1:23">
      <c r="D15" s="91"/>
      <c r="E15" s="91"/>
      <c r="F15" s="91"/>
      <c r="G15" s="91"/>
      <c r="H15" s="91"/>
      <c r="I15" s="91"/>
      <c r="J15" s="91"/>
      <c r="K15" s="91"/>
    </row>
    <row r="16" spans="1:23">
      <c r="D16" s="91"/>
      <c r="E16" s="91"/>
      <c r="F16" s="91"/>
      <c r="G16" s="91"/>
      <c r="H16" s="91"/>
      <c r="I16" s="91"/>
      <c r="J16" s="91"/>
      <c r="K16" s="91"/>
    </row>
    <row r="17" spans="7:7">
      <c r="G17" s="289"/>
    </row>
    <row r="18" spans="7:7">
      <c r="G18" s="289"/>
    </row>
    <row r="19" spans="7:7">
      <c r="G19" s="289"/>
    </row>
    <row r="20" spans="7:7">
      <c r="G20" s="289"/>
    </row>
    <row r="21" spans="7:7">
      <c r="G21" s="289"/>
    </row>
    <row r="22" spans="7:7">
      <c r="G22" s="289"/>
    </row>
    <row r="23" spans="7:7">
      <c r="G23" s="289"/>
    </row>
    <row r="24" spans="7:7">
      <c r="G24" s="289"/>
    </row>
    <row r="25" spans="7:7">
      <c r="G25" s="289"/>
    </row>
    <row r="26" spans="7:7">
      <c r="G26" s="289"/>
    </row>
    <row r="27" spans="7:7">
      <c r="G27" s="289"/>
    </row>
    <row r="28" spans="7:7">
      <c r="G28" s="289"/>
    </row>
    <row r="29" spans="7:7">
      <c r="G29" s="289"/>
    </row>
    <row r="30" spans="7:7">
      <c r="G30" s="289"/>
    </row>
    <row r="31" spans="7:7">
      <c r="G31" s="289"/>
    </row>
    <row r="32" spans="7:7">
      <c r="G32" s="289"/>
    </row>
    <row r="33" spans="7:7">
      <c r="G33" s="289"/>
    </row>
    <row r="34" spans="7:7">
      <c r="G34" s="289"/>
    </row>
    <row r="35" spans="7:7">
      <c r="G35" s="289"/>
    </row>
    <row r="36" spans="7:7">
      <c r="G36" s="289"/>
    </row>
    <row r="37" spans="7:7">
      <c r="G37" s="289">
        <f t="shared" ref="G37:G38" si="6">G22+H22+I22</f>
        <v>0</v>
      </c>
    </row>
    <row r="38" spans="7:7">
      <c r="G38" s="289">
        <f t="shared" si="6"/>
        <v>0</v>
      </c>
    </row>
  </sheetData>
  <customSheetViews>
    <customSheetView guid="{25FAB884-5E17-4008-8139-33D910C7DEFE}">
      <selection activeCell="M29" sqref="M29"/>
      <pageMargins left="0.7" right="0.7" top="0.75" bottom="0.75" header="0.3" footer="0.3"/>
      <pageSetup paperSize="9" orientation="portrait" horizontalDpi="1200" verticalDpi="1200" r:id="rId1"/>
    </customSheetView>
    <customSheetView guid="{8DA78CF1-615A-4626-9893-6751995631A4}">
      <selection activeCell="H7" sqref="H7"/>
      <pageMargins left="0.7" right="0.7" top="0.75" bottom="0.75" header="0.3" footer="0.3"/>
    </customSheetView>
    <customSheetView guid="{687A4863-1825-4D63-B732-E76682E6DE4F}" scale="52">
      <selection activeCell="E20" sqref="E20"/>
      <pageMargins left="0.7" right="0.7" top="0.75" bottom="0.75" header="0.3" footer="0.3"/>
    </customSheetView>
    <customSheetView guid="{899D69CD-4B7E-42BC-9944-5BD922EB798C}">
      <selection activeCell="O1" sqref="O1:O1048576"/>
      <pageMargins left="0.7" right="0.7" top="0.75" bottom="0.75" header="0.3" footer="0.3"/>
    </customSheetView>
    <customSheetView guid="{9AF4A83C-CF57-4B40-8A74-6A0EA6C2FE5C}">
      <selection activeCell="K12" sqref="K12:L12"/>
      <pageMargins left="0.7" right="0.7" top="0.75" bottom="0.75" header="0.3" footer="0.3"/>
    </customSheetView>
    <customSheetView guid="{57267270-6A97-4850-9DB6-FE6B399379AA}" topLeftCell="F1">
      <selection activeCell="P8" sqref="P8"/>
      <pageMargins left="0.7" right="0.7" top="0.75" bottom="0.75" header="0.3" footer="0.3"/>
    </customSheetView>
    <customSheetView guid="{12F8D032-8143-430B-8DFF-852E8796C402}">
      <selection activeCell="A6" sqref="A6:XFD6"/>
      <pageMargins left="0.7" right="0.7" top="0.75" bottom="0.75" header="0.3" footer="0.3"/>
    </customSheetView>
  </customSheetView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workbookViewId="0">
      <selection activeCell="C26" sqref="C26:C27"/>
    </sheetView>
  </sheetViews>
  <sheetFormatPr defaultColWidth="9.140625" defaultRowHeight="15"/>
  <cols>
    <col min="1" max="2" width="50.7109375" style="19" customWidth="1"/>
    <col min="3" max="10" width="13.42578125" style="19" customWidth="1"/>
    <col min="11" max="14" width="13.42578125" style="93" customWidth="1"/>
    <col min="15" max="16384" width="9.140625" style="19"/>
  </cols>
  <sheetData>
    <row r="2" spans="1:16" ht="15.75" thickBot="1">
      <c r="A2" s="44" t="s">
        <v>283</v>
      </c>
      <c r="B2" s="44" t="s">
        <v>19</v>
      </c>
      <c r="C2" s="52" t="s">
        <v>165</v>
      </c>
      <c r="D2" s="52" t="s">
        <v>166</v>
      </c>
      <c r="E2" s="52" t="s">
        <v>167</v>
      </c>
      <c r="F2" s="52" t="s">
        <v>168</v>
      </c>
      <c r="G2" s="52" t="s">
        <v>169</v>
      </c>
      <c r="H2" s="52" t="s">
        <v>170</v>
      </c>
      <c r="I2" s="52" t="s">
        <v>171</v>
      </c>
      <c r="J2" s="52" t="s">
        <v>172</v>
      </c>
      <c r="K2" s="210">
        <v>43555</v>
      </c>
      <c r="L2" s="210">
        <v>43646</v>
      </c>
      <c r="M2" s="210">
        <v>43738</v>
      </c>
      <c r="N2" s="210">
        <v>43830</v>
      </c>
    </row>
    <row r="3" spans="1:16" ht="15" customHeight="1">
      <c r="A3" s="45" t="s">
        <v>245</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row>
    <row r="4" spans="1:16"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P4" s="90"/>
    </row>
    <row r="5" spans="1:16" ht="15" customHeight="1">
      <c r="A5" s="46" t="s">
        <v>284</v>
      </c>
      <c r="B5" s="343"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P5" s="90"/>
    </row>
    <row r="6" spans="1:16"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P6" s="90"/>
    </row>
    <row r="7" spans="1:16"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P7" s="90"/>
    </row>
    <row r="8" spans="1:16" ht="15" customHeight="1">
      <c r="A8" s="45" t="s">
        <v>313</v>
      </c>
      <c r="B8" s="45" t="s">
        <v>312</v>
      </c>
      <c r="C8" s="49">
        <v>0</v>
      </c>
      <c r="D8" s="49">
        <v>0</v>
      </c>
      <c r="E8" s="49">
        <v>0</v>
      </c>
      <c r="F8" s="49">
        <v>0</v>
      </c>
      <c r="G8" s="49">
        <v>0</v>
      </c>
      <c r="H8" s="49">
        <v>0</v>
      </c>
      <c r="I8" s="49">
        <v>0</v>
      </c>
      <c r="J8" s="49">
        <v>0</v>
      </c>
      <c r="K8" s="49">
        <v>0</v>
      </c>
      <c r="L8" s="49">
        <v>0</v>
      </c>
      <c r="M8" s="49">
        <v>0</v>
      </c>
      <c r="N8" s="49">
        <v>0</v>
      </c>
      <c r="P8" s="90"/>
    </row>
    <row r="9" spans="1:16"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row>
    <row r="10" spans="1:16" ht="15" customHeight="1">
      <c r="A10" s="47" t="s">
        <v>288</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M3+M4+M6+M7+M9</f>
        <v>148942734</v>
      </c>
      <c r="N10" s="50">
        <f>N3+N4+N6+N7+N9</f>
        <v>148646993</v>
      </c>
    </row>
    <row r="11" spans="1:16" ht="15" customHeight="1">
      <c r="A11" s="45" t="s">
        <v>289</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row>
    <row r="12" spans="1:16">
      <c r="A12" s="48" t="s">
        <v>58</v>
      </c>
      <c r="B12" s="48" t="s">
        <v>43</v>
      </c>
      <c r="C12" s="51">
        <f t="shared" ref="C12:F12" si="1">SUM(C10,C11)</f>
        <v>104018178</v>
      </c>
      <c r="D12" s="51">
        <f t="shared" si="1"/>
        <v>105053727</v>
      </c>
      <c r="E12" s="51">
        <f t="shared" si="1"/>
        <v>106475429</v>
      </c>
      <c r="F12" s="51">
        <f t="shared" si="1"/>
        <v>107839897</v>
      </c>
      <c r="G12" s="51">
        <v>109077790</v>
      </c>
      <c r="H12" s="51">
        <f>SUM(H10,H11)</f>
        <v>114176972</v>
      </c>
      <c r="I12" s="51">
        <f>SUM(I10,I11)</f>
        <v>116590007</v>
      </c>
      <c r="J12" s="51">
        <f>SUM(J10,J11)</f>
        <v>137460378</v>
      </c>
      <c r="K12" s="51">
        <f>SUM(K10,K11)</f>
        <v>138667143</v>
      </c>
      <c r="L12" s="51">
        <v>140725703</v>
      </c>
      <c r="M12" s="51">
        <f>M10+M11</f>
        <v>143825386</v>
      </c>
      <c r="N12" s="51">
        <f>N10+N11</f>
        <v>143402629</v>
      </c>
    </row>
    <row r="14" spans="1:16" ht="10.5" customHeight="1"/>
    <row r="15" spans="1:16" ht="10.9" customHeight="1"/>
    <row r="19" spans="11:14" s="297" customFormat="1">
      <c r="K19" s="296"/>
      <c r="L19" s="296"/>
      <c r="M19" s="296"/>
      <c r="N19" s="296"/>
    </row>
    <row r="23" spans="11:14" ht="10.5" customHeight="1"/>
  </sheetData>
  <customSheetViews>
    <customSheetView guid="{25FAB884-5E17-4008-8139-33D910C7DEFE}">
      <selection activeCell="G13" sqref="G13"/>
      <pageMargins left="0.7" right="0.7" top="0.75" bottom="0.75" header="0.3" footer="0.3"/>
    </customSheetView>
    <customSheetView guid="{8DA78CF1-615A-4626-9893-6751995631A4}" topLeftCell="B1">
      <selection activeCell="L18" sqref="L18"/>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899D69CD-4B7E-42BC-9944-5BD922EB798C}">
      <pane xSplit="2" ySplit="2" topLeftCell="C3" activePane="bottomRight" state="frozen"/>
      <selection pane="bottomRight" activeCell="E30" sqref="E30"/>
      <pageMargins left="0.7" right="0.7" top="0.75" bottom="0.75" header="0.3" footer="0.3"/>
    </customSheetView>
    <customSheetView guid="{9AF4A83C-CF57-4B40-8A74-6A0EA6C2FE5C}">
      <selection activeCell="I30" sqref="I30"/>
      <pageMargins left="0.7" right="0.7" top="0.75" bottom="0.75" header="0.3" footer="0.3"/>
    </customSheetView>
    <customSheetView guid="{57267270-6A97-4850-9DB6-FE6B399379AA}">
      <selection activeCell="A15" sqref="A15"/>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workbookViewId="0">
      <selection activeCell="D34" sqref="D34"/>
    </sheetView>
  </sheetViews>
  <sheetFormatPr defaultRowHeight="15"/>
  <cols>
    <col min="1" max="1" width="68.85546875" customWidth="1"/>
    <col min="2" max="2" width="61.85546875" bestFit="1" customWidth="1"/>
    <col min="3" max="5" width="13.42578125" customWidth="1"/>
    <col min="6" max="7" width="13.42578125" style="3" customWidth="1"/>
    <col min="8" max="15" width="13.42578125" customWidth="1"/>
  </cols>
  <sheetData>
    <row r="2" spans="1:15" ht="15.75" thickBot="1">
      <c r="A2" s="55" t="s">
        <v>338</v>
      </c>
      <c r="B2" s="55" t="s">
        <v>260</v>
      </c>
      <c r="C2" s="78">
        <v>42825</v>
      </c>
      <c r="D2" s="78">
        <v>42916</v>
      </c>
      <c r="E2" s="78">
        <v>43008</v>
      </c>
      <c r="F2" s="61">
        <v>43100</v>
      </c>
      <c r="G2" s="61">
        <v>43101</v>
      </c>
      <c r="H2" s="78">
        <v>43190</v>
      </c>
      <c r="I2" s="78">
        <v>43281</v>
      </c>
      <c r="J2" s="78">
        <v>43373</v>
      </c>
      <c r="K2" s="61">
        <v>43465</v>
      </c>
      <c r="L2" s="61">
        <v>43555</v>
      </c>
      <c r="M2" s="264">
        <v>43646</v>
      </c>
      <c r="N2" s="264">
        <v>43738</v>
      </c>
      <c r="O2" s="316">
        <v>43830</v>
      </c>
    </row>
    <row r="3" spans="1:15"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65">
        <f t="shared" si="0"/>
        <v>37097116</v>
      </c>
      <c r="N3" s="265">
        <f t="shared" ref="N3" si="1">N5+N8+N10</f>
        <v>36585574</v>
      </c>
      <c r="O3" s="317">
        <f>O5+O8+O10</f>
        <v>40248937</v>
      </c>
    </row>
    <row r="4" spans="1:15" s="3" customFormat="1" ht="15" customHeight="1">
      <c r="A4" s="56" t="s">
        <v>391</v>
      </c>
      <c r="B4" s="56" t="s">
        <v>392</v>
      </c>
      <c r="C4" s="63">
        <f>C5+C10</f>
        <v>24212430</v>
      </c>
      <c r="D4" s="63">
        <f>D5+D10</f>
        <v>24184070</v>
      </c>
      <c r="E4" s="63">
        <f>E7+E9+E11</f>
        <v>25011794</v>
      </c>
      <c r="F4" s="86">
        <f>F7+F9+F11</f>
        <v>25984209</v>
      </c>
      <c r="G4" s="56"/>
      <c r="H4" s="56"/>
      <c r="I4" s="56"/>
      <c r="J4" s="56"/>
      <c r="K4" s="56"/>
      <c r="L4" s="56"/>
      <c r="M4" s="266"/>
      <c r="N4" s="266"/>
      <c r="O4" s="318"/>
    </row>
    <row r="5" spans="1:15" ht="15" customHeight="1">
      <c r="A5" s="57" t="s">
        <v>340</v>
      </c>
      <c r="B5" s="57" t="s">
        <v>350</v>
      </c>
      <c r="C5" s="38">
        <f t="shared" ref="C5:M5" si="2">C7+C6</f>
        <v>22182310</v>
      </c>
      <c r="D5" s="38">
        <f t="shared" si="2"/>
        <v>22034197</v>
      </c>
      <c r="E5" s="38">
        <f t="shared" si="2"/>
        <v>21610256</v>
      </c>
      <c r="F5" s="38">
        <f t="shared" si="2"/>
        <v>22514629</v>
      </c>
      <c r="G5" s="38">
        <f t="shared" si="2"/>
        <v>22514629</v>
      </c>
      <c r="H5" s="38">
        <f t="shared" si="2"/>
        <v>24538574</v>
      </c>
      <c r="I5" s="38">
        <f t="shared" si="2"/>
        <v>27154076</v>
      </c>
      <c r="J5" s="38">
        <f t="shared" si="2"/>
        <v>28624667</v>
      </c>
      <c r="K5" s="38">
        <f t="shared" si="2"/>
        <v>29068536</v>
      </c>
      <c r="L5" s="38">
        <f t="shared" si="2"/>
        <v>31777287</v>
      </c>
      <c r="M5" s="261">
        <f t="shared" si="2"/>
        <v>33136741</v>
      </c>
      <c r="N5" s="261">
        <f t="shared" ref="N5" si="3">N7+N6</f>
        <v>34540831</v>
      </c>
      <c r="O5" s="319">
        <f>O7+O6</f>
        <v>34332625</v>
      </c>
    </row>
    <row r="6" spans="1:15" s="3" customFormat="1" ht="15" customHeight="1">
      <c r="A6" s="85" t="s">
        <v>343</v>
      </c>
      <c r="B6" s="85" t="s">
        <v>353</v>
      </c>
      <c r="C6" s="38">
        <v>292894</v>
      </c>
      <c r="D6" s="38">
        <v>293619</v>
      </c>
      <c r="E6" s="38">
        <v>0</v>
      </c>
      <c r="F6" s="38">
        <v>0</v>
      </c>
      <c r="G6" s="38">
        <v>0</v>
      </c>
      <c r="H6" s="38">
        <v>0</v>
      </c>
      <c r="I6" s="38">
        <v>0</v>
      </c>
      <c r="J6" s="38">
        <v>0</v>
      </c>
      <c r="K6" s="38">
        <v>0</v>
      </c>
      <c r="L6" s="38">
        <v>0</v>
      </c>
      <c r="M6" s="261">
        <v>0</v>
      </c>
      <c r="N6" s="261">
        <v>0</v>
      </c>
      <c r="O6" s="319">
        <v>0</v>
      </c>
    </row>
    <row r="7" spans="1:15"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61">
        <v>33136741</v>
      </c>
      <c r="N7" s="261">
        <v>34540831</v>
      </c>
      <c r="O7" s="319">
        <v>34332625</v>
      </c>
    </row>
    <row r="8" spans="1:15" ht="15" customHeight="1">
      <c r="A8" s="58" t="s">
        <v>342</v>
      </c>
      <c r="B8" s="58" t="s">
        <v>352</v>
      </c>
      <c r="C8" s="38">
        <v>0</v>
      </c>
      <c r="D8" s="38">
        <v>0</v>
      </c>
      <c r="E8" s="38">
        <f t="shared" ref="E8:L8" si="4">E9</f>
        <v>1239118</v>
      </c>
      <c r="F8" s="38">
        <f t="shared" si="4"/>
        <v>1379839</v>
      </c>
      <c r="G8" s="38">
        <f t="shared" si="4"/>
        <v>1379839</v>
      </c>
      <c r="H8" s="38">
        <f t="shared" si="4"/>
        <v>82023</v>
      </c>
      <c r="I8" s="38">
        <f t="shared" si="4"/>
        <v>3279363</v>
      </c>
      <c r="J8" s="38">
        <f t="shared" si="4"/>
        <v>2299616</v>
      </c>
      <c r="K8" s="38">
        <f t="shared" si="4"/>
        <v>5999249</v>
      </c>
      <c r="L8" s="38">
        <f t="shared" si="4"/>
        <v>3214666</v>
      </c>
      <c r="M8" s="261">
        <f>M9</f>
        <v>1939700</v>
      </c>
      <c r="N8" s="261">
        <f>N9</f>
        <v>0</v>
      </c>
      <c r="O8" s="319">
        <f>O9</f>
        <v>3849679</v>
      </c>
    </row>
    <row r="9" spans="1:15" ht="15" customHeight="1">
      <c r="A9" s="33" t="s">
        <v>343</v>
      </c>
      <c r="B9" s="33" t="s">
        <v>353</v>
      </c>
      <c r="C9" s="38">
        <v>0</v>
      </c>
      <c r="D9" s="38">
        <v>0</v>
      </c>
      <c r="E9" s="38">
        <v>1239118</v>
      </c>
      <c r="F9" s="42">
        <v>1379839</v>
      </c>
      <c r="G9" s="42">
        <v>1379839</v>
      </c>
      <c r="H9" s="38">
        <v>82023</v>
      </c>
      <c r="I9" s="38">
        <v>3279363</v>
      </c>
      <c r="J9" s="38">
        <v>2299616</v>
      </c>
      <c r="K9" s="38">
        <v>5999249</v>
      </c>
      <c r="L9" s="38">
        <v>3214666</v>
      </c>
      <c r="M9" s="261">
        <v>1939700</v>
      </c>
      <c r="N9" s="261">
        <v>0</v>
      </c>
      <c r="O9" s="319">
        <v>3849679</v>
      </c>
    </row>
    <row r="10" spans="1:15" ht="15" customHeight="1">
      <c r="A10" s="57" t="s">
        <v>344</v>
      </c>
      <c r="B10" s="57" t="s">
        <v>354</v>
      </c>
      <c r="C10" s="38">
        <f>C11</f>
        <v>2030120</v>
      </c>
      <c r="D10" s="38">
        <f>D11</f>
        <v>2149873</v>
      </c>
      <c r="E10" s="38">
        <f>E11</f>
        <v>2162420</v>
      </c>
      <c r="F10" s="38">
        <f>F11</f>
        <v>2089741</v>
      </c>
      <c r="G10" s="38">
        <f t="shared" ref="G10:N10" si="5">G11</f>
        <v>2089741</v>
      </c>
      <c r="H10" s="38">
        <f t="shared" si="5"/>
        <v>2130263</v>
      </c>
      <c r="I10" s="38">
        <f t="shared" si="5"/>
        <v>2131693</v>
      </c>
      <c r="J10" s="38">
        <f t="shared" si="5"/>
        <v>2089119</v>
      </c>
      <c r="K10" s="38">
        <f t="shared" si="5"/>
        <v>1818672</v>
      </c>
      <c r="L10" s="38">
        <f t="shared" si="5"/>
        <v>2003010</v>
      </c>
      <c r="M10" s="261">
        <f t="shared" si="5"/>
        <v>2020675</v>
      </c>
      <c r="N10" s="261">
        <f t="shared" si="5"/>
        <v>2044743</v>
      </c>
      <c r="O10" s="319">
        <f>O11</f>
        <v>2066633</v>
      </c>
    </row>
    <row r="11" spans="1:15"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61">
        <v>2020675</v>
      </c>
      <c r="N11" s="261">
        <v>2044743</v>
      </c>
      <c r="O11" s="319">
        <v>2066633</v>
      </c>
    </row>
    <row r="12" spans="1:15"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62">
        <v>177035</v>
      </c>
      <c r="N12" s="262">
        <v>187335</v>
      </c>
      <c r="O12" s="320">
        <v>194285</v>
      </c>
    </row>
    <row r="13" spans="1:15" ht="30" customHeight="1">
      <c r="A13" s="59" t="s">
        <v>346</v>
      </c>
      <c r="B13" s="59" t="s">
        <v>357</v>
      </c>
      <c r="C13" s="84"/>
      <c r="D13" s="84"/>
      <c r="E13" s="84"/>
      <c r="F13" s="63"/>
      <c r="G13" s="63">
        <f>G15+G16</f>
        <v>812620</v>
      </c>
      <c r="H13" s="63">
        <f t="shared" ref="H13:M13" si="6">H15+H16</f>
        <v>811584</v>
      </c>
      <c r="I13" s="63">
        <f t="shared" si="6"/>
        <v>843573</v>
      </c>
      <c r="J13" s="63">
        <f t="shared" si="6"/>
        <v>841340</v>
      </c>
      <c r="K13" s="63">
        <f t="shared" si="6"/>
        <v>821538</v>
      </c>
      <c r="L13" s="63">
        <f t="shared" si="6"/>
        <v>817717</v>
      </c>
      <c r="M13" s="356">
        <f t="shared" si="6"/>
        <v>807301</v>
      </c>
      <c r="N13" s="356">
        <f t="shared" ref="N13" si="7">N15+N16</f>
        <v>808758</v>
      </c>
      <c r="O13" s="355">
        <f>O15+O16</f>
        <v>884912</v>
      </c>
    </row>
    <row r="14" spans="1:15" s="3" customFormat="1">
      <c r="A14" s="59" t="s">
        <v>393</v>
      </c>
      <c r="B14" s="59" t="s">
        <v>631</v>
      </c>
      <c r="C14" s="63">
        <f>C15+C16</f>
        <v>878321</v>
      </c>
      <c r="D14" s="63">
        <f>D15+D16</f>
        <v>888437</v>
      </c>
      <c r="E14" s="63">
        <f>E15+E16</f>
        <v>914701</v>
      </c>
      <c r="F14" s="63">
        <f>F15+F16</f>
        <v>920879</v>
      </c>
      <c r="G14" s="63"/>
      <c r="H14" s="63"/>
      <c r="I14" s="63"/>
      <c r="J14" s="63"/>
      <c r="K14" s="63"/>
      <c r="L14" s="63"/>
      <c r="M14" s="262"/>
      <c r="N14" s="262"/>
      <c r="O14" s="320"/>
    </row>
    <row r="15" spans="1:15" ht="15" customHeight="1">
      <c r="A15" s="33" t="s">
        <v>347</v>
      </c>
      <c r="B15" s="33" t="s">
        <v>358</v>
      </c>
      <c r="C15" s="38">
        <v>22970</v>
      </c>
      <c r="D15" s="38">
        <v>22405</v>
      </c>
      <c r="E15" s="38">
        <v>22093</v>
      </c>
      <c r="F15" s="38">
        <v>19329</v>
      </c>
      <c r="G15" s="38">
        <v>19329</v>
      </c>
      <c r="H15" s="38">
        <v>19663</v>
      </c>
      <c r="I15" s="38">
        <v>18663</v>
      </c>
      <c r="J15" s="38">
        <v>16297</v>
      </c>
      <c r="K15" s="38">
        <v>16720</v>
      </c>
      <c r="L15" s="38">
        <v>12897</v>
      </c>
      <c r="M15" s="261">
        <v>13997</v>
      </c>
      <c r="N15" s="261">
        <v>15164</v>
      </c>
      <c r="O15" s="319">
        <v>19996</v>
      </c>
    </row>
    <row r="16" spans="1:15" ht="15" customHeight="1">
      <c r="A16" s="57" t="s">
        <v>348</v>
      </c>
      <c r="B16" s="57" t="s">
        <v>359</v>
      </c>
      <c r="C16" s="38">
        <v>855351</v>
      </c>
      <c r="D16" s="38">
        <v>866032</v>
      </c>
      <c r="E16" s="38">
        <v>892608</v>
      </c>
      <c r="F16" s="38">
        <v>901550</v>
      </c>
      <c r="G16" s="38">
        <v>793291</v>
      </c>
      <c r="H16" s="38">
        <v>791921</v>
      </c>
      <c r="I16" s="38">
        <v>824910</v>
      </c>
      <c r="J16" s="38">
        <v>825043</v>
      </c>
      <c r="K16" s="38">
        <v>804818</v>
      </c>
      <c r="L16" s="38">
        <v>804820</v>
      </c>
      <c r="M16" s="261">
        <v>793304</v>
      </c>
      <c r="N16" s="261">
        <v>793594</v>
      </c>
      <c r="O16" s="319">
        <v>864916</v>
      </c>
    </row>
    <row r="17" spans="1:21" ht="15" customHeight="1">
      <c r="A17" s="35" t="s">
        <v>58</v>
      </c>
      <c r="B17" s="35" t="s">
        <v>43</v>
      </c>
      <c r="C17" s="195">
        <f>C4+C14</f>
        <v>25090751</v>
      </c>
      <c r="D17" s="195">
        <f>D4+D14</f>
        <v>25072507</v>
      </c>
      <c r="E17" s="195">
        <f>E4+E14</f>
        <v>25926495</v>
      </c>
      <c r="F17" s="195">
        <f>F4+F14</f>
        <v>26905088</v>
      </c>
      <c r="G17" s="196">
        <f>G3+G12+G13</f>
        <v>26889994</v>
      </c>
      <c r="H17" s="196">
        <f>H3+H12+H13</f>
        <v>27661682</v>
      </c>
      <c r="I17" s="196">
        <f>I3+I12+I13</f>
        <v>33527451</v>
      </c>
      <c r="J17" s="196">
        <f t="shared" ref="J17:O17" si="8">J3+J12+J13</f>
        <v>33986072</v>
      </c>
      <c r="K17" s="196">
        <f t="shared" si="8"/>
        <v>37844506</v>
      </c>
      <c r="L17" s="196">
        <f t="shared" si="8"/>
        <v>37976558</v>
      </c>
      <c r="M17" s="196">
        <f t="shared" si="8"/>
        <v>38081452</v>
      </c>
      <c r="N17" s="196">
        <f t="shared" si="8"/>
        <v>37581667</v>
      </c>
      <c r="O17" s="196">
        <f t="shared" si="8"/>
        <v>41328134</v>
      </c>
    </row>
    <row r="18" spans="1:21" s="3" customFormat="1">
      <c r="B18" s="193"/>
      <c r="C18" s="357">
        <f>C17-BS!D11</f>
        <v>0</v>
      </c>
      <c r="D18" s="357">
        <f>D17-BS!E11</f>
        <v>0</v>
      </c>
      <c r="E18" s="357">
        <f>E17-BS!F11</f>
        <v>0</v>
      </c>
      <c r="F18" s="357">
        <f>F17-BS!G11</f>
        <v>0</v>
      </c>
      <c r="G18" s="357">
        <f>BS!H12-G17</f>
        <v>0</v>
      </c>
      <c r="H18" s="357">
        <f>H17-BS!I12</f>
        <v>0</v>
      </c>
      <c r="I18" s="357">
        <f>I17-BS!J12</f>
        <v>0</v>
      </c>
      <c r="J18" s="357">
        <f>J17-BS!K12</f>
        <v>0</v>
      </c>
      <c r="K18" s="357">
        <f>K17-BS!L12</f>
        <v>0</v>
      </c>
      <c r="L18" s="357">
        <f>L17-BS!M12</f>
        <v>0</v>
      </c>
      <c r="M18" s="357">
        <f>M17-BS!N12</f>
        <v>0</v>
      </c>
      <c r="N18" s="357">
        <f>N17-BS!O12</f>
        <v>0</v>
      </c>
      <c r="O18" s="357">
        <f>O17-BS!P12</f>
        <v>0</v>
      </c>
      <c r="P18" s="193"/>
      <c r="Q18" s="193"/>
      <c r="R18" s="193"/>
      <c r="S18" s="193"/>
      <c r="T18" s="193"/>
      <c r="U18" s="193"/>
    </row>
    <row r="19" spans="1:21" s="3" customFormat="1">
      <c r="B19" s="193"/>
      <c r="C19" s="193"/>
      <c r="D19" s="194"/>
      <c r="E19" s="193"/>
      <c r="F19" s="194"/>
      <c r="G19" s="256">
        <f>G18-G17</f>
        <v>-26889994</v>
      </c>
      <c r="H19" s="194"/>
      <c r="I19" s="194"/>
      <c r="J19" s="347"/>
      <c r="K19" s="193"/>
      <c r="L19" s="193"/>
      <c r="M19" s="193"/>
      <c r="N19" s="193"/>
      <c r="O19" s="193"/>
      <c r="P19" s="193"/>
      <c r="Q19" s="193"/>
      <c r="R19" s="193"/>
      <c r="S19" s="193"/>
      <c r="T19" s="193"/>
      <c r="U19" s="193"/>
    </row>
    <row r="20" spans="1:21">
      <c r="B20" s="193"/>
      <c r="C20" s="193"/>
      <c r="D20" s="194"/>
      <c r="E20" s="194"/>
      <c r="F20" s="194"/>
      <c r="G20" s="256"/>
      <c r="H20" s="194"/>
      <c r="I20" s="194"/>
      <c r="J20" s="194"/>
      <c r="K20" s="194"/>
      <c r="L20" s="194"/>
      <c r="M20" s="194"/>
      <c r="N20" s="194"/>
      <c r="O20" s="194"/>
      <c r="P20" s="193"/>
      <c r="Q20" s="193"/>
      <c r="R20" s="193"/>
      <c r="S20" s="193"/>
      <c r="T20" s="193"/>
      <c r="U20" s="193"/>
    </row>
    <row r="21" spans="1:21">
      <c r="B21" s="193"/>
      <c r="C21" s="193"/>
      <c r="D21" s="193"/>
      <c r="E21" s="193"/>
      <c r="F21" s="193"/>
      <c r="G21" s="354"/>
      <c r="H21" s="193"/>
      <c r="I21" s="193"/>
      <c r="J21" s="193"/>
      <c r="K21" s="193"/>
      <c r="L21" s="193"/>
      <c r="M21" s="193"/>
      <c r="N21" s="193"/>
      <c r="O21" s="193"/>
      <c r="P21" s="193"/>
      <c r="Q21" s="193"/>
      <c r="R21" s="193"/>
      <c r="S21" s="193"/>
      <c r="T21" s="193"/>
      <c r="U21" s="193"/>
    </row>
    <row r="22" spans="1:21" ht="15.75">
      <c r="B22" s="193"/>
      <c r="C22" s="193"/>
      <c r="D22" s="193"/>
      <c r="E22" s="193"/>
      <c r="F22" s="193"/>
      <c r="G22" s="313">
        <v>25984209</v>
      </c>
      <c r="H22" s="193"/>
      <c r="I22" s="193"/>
      <c r="J22" s="193"/>
      <c r="K22" s="193"/>
      <c r="L22" s="193"/>
      <c r="M22" s="193"/>
      <c r="N22" s="193"/>
      <c r="O22" s="193"/>
      <c r="P22" s="193"/>
      <c r="Q22" s="193"/>
      <c r="R22" s="193"/>
      <c r="S22" s="193"/>
      <c r="T22" s="193"/>
      <c r="U22" s="193"/>
    </row>
    <row r="23" spans="1:21" ht="15.75">
      <c r="B23" s="193"/>
      <c r="C23" s="193"/>
      <c r="D23" s="193"/>
      <c r="E23" s="193"/>
      <c r="F23" s="193"/>
      <c r="G23" s="313">
        <v>93165</v>
      </c>
      <c r="H23" s="193"/>
      <c r="I23" s="193"/>
      <c r="J23" s="193"/>
      <c r="K23" s="193"/>
      <c r="L23" s="193"/>
      <c r="M23" s="193"/>
      <c r="N23" s="193"/>
      <c r="O23" s="193"/>
      <c r="P23" s="193"/>
      <c r="Q23" s="193"/>
      <c r="R23" s="193"/>
      <c r="S23" s="193"/>
      <c r="T23" s="193"/>
      <c r="U23" s="193"/>
    </row>
    <row r="24" spans="1:21" ht="15.75">
      <c r="B24" s="193"/>
      <c r="C24" s="193"/>
      <c r="D24" s="193"/>
      <c r="E24" s="193"/>
      <c r="F24" s="193"/>
      <c r="G24" s="313">
        <v>812620</v>
      </c>
      <c r="H24" s="193"/>
      <c r="I24" s="193"/>
      <c r="J24" s="194"/>
      <c r="K24" s="193"/>
      <c r="L24" s="193"/>
      <c r="M24" s="193"/>
      <c r="N24" s="193"/>
      <c r="O24" s="193"/>
      <c r="P24" s="193"/>
      <c r="Q24" s="193"/>
      <c r="R24" s="193"/>
      <c r="S24" s="193"/>
      <c r="T24" s="193"/>
      <c r="U24" s="193"/>
    </row>
    <row r="25" spans="1:21">
      <c r="C25" s="193"/>
      <c r="D25" s="193"/>
      <c r="E25" s="193"/>
      <c r="F25" s="193"/>
      <c r="G25" s="354"/>
      <c r="H25" s="193"/>
      <c r="I25" s="193"/>
      <c r="J25" s="194"/>
      <c r="K25" s="193"/>
      <c r="L25" s="193"/>
      <c r="M25" s="193"/>
      <c r="N25" s="193"/>
      <c r="O25" s="193"/>
      <c r="P25" s="337"/>
    </row>
    <row r="26" spans="1:21">
      <c r="C26" s="193"/>
      <c r="D26" s="193"/>
      <c r="E26" s="193"/>
      <c r="F26" s="193"/>
      <c r="G26" s="354"/>
      <c r="H26" s="193"/>
      <c r="I26" s="193"/>
      <c r="J26" s="193"/>
      <c r="K26" s="193"/>
      <c r="L26" s="193"/>
      <c r="M26" s="193"/>
      <c r="N26" s="193"/>
      <c r="O26" s="193"/>
      <c r="P26" s="337"/>
    </row>
    <row r="27" spans="1:21">
      <c r="C27" s="193"/>
      <c r="D27" s="193"/>
      <c r="E27" s="193"/>
      <c r="F27" s="193"/>
      <c r="G27" s="193"/>
      <c r="H27" s="193"/>
      <c r="I27" s="193"/>
      <c r="J27" s="193"/>
      <c r="K27" s="193"/>
      <c r="L27" s="193"/>
      <c r="M27" s="193"/>
      <c r="N27" s="193"/>
      <c r="O27" s="193"/>
      <c r="P27" s="337"/>
    </row>
    <row r="28" spans="1:21">
      <c r="C28" s="193"/>
      <c r="D28" s="193"/>
      <c r="E28" s="193"/>
      <c r="F28" s="193"/>
      <c r="G28" s="193"/>
      <c r="H28" s="193"/>
      <c r="I28" s="193"/>
      <c r="J28" s="193"/>
      <c r="K28" s="193"/>
      <c r="L28" s="193"/>
      <c r="M28" s="193"/>
      <c r="N28" s="193"/>
      <c r="O28" s="193"/>
      <c r="P28" s="337"/>
    </row>
    <row r="29" spans="1:21">
      <c r="C29" s="193"/>
      <c r="D29" s="193"/>
      <c r="E29" s="193"/>
      <c r="F29" s="193"/>
      <c r="G29" s="193"/>
      <c r="H29" s="193"/>
      <c r="I29" s="193"/>
      <c r="J29" s="193"/>
      <c r="K29" s="193"/>
      <c r="L29" s="193"/>
      <c r="M29" s="193"/>
      <c r="N29" s="193"/>
      <c r="O29" s="193"/>
      <c r="P29" s="337"/>
    </row>
    <row r="30" spans="1:21">
      <c r="C30" s="193"/>
      <c r="D30" s="193"/>
      <c r="E30" s="193"/>
      <c r="F30" s="193"/>
      <c r="G30" s="193"/>
      <c r="H30" s="193"/>
      <c r="I30" s="193"/>
      <c r="J30" s="193"/>
      <c r="K30" s="193"/>
      <c r="L30" s="193"/>
      <c r="M30" s="193"/>
      <c r="N30" s="193"/>
      <c r="O30" s="193"/>
    </row>
    <row r="31" spans="1:21">
      <c r="C31" s="193"/>
      <c r="D31" s="193"/>
      <c r="E31" s="193"/>
      <c r="F31" s="193"/>
      <c r="G31" s="193"/>
      <c r="H31" s="193"/>
      <c r="I31" s="193"/>
      <c r="J31" s="193"/>
      <c r="K31" s="193"/>
      <c r="L31" s="193"/>
      <c r="M31" s="193"/>
      <c r="N31" s="193"/>
      <c r="O31" s="193"/>
    </row>
  </sheetData>
  <customSheetViews>
    <customSheetView guid="{25FAB884-5E17-4008-8139-33D910C7DEFE}" topLeftCell="B1">
      <selection activeCell="H31" sqref="H31"/>
      <pageMargins left="0.7" right="0.7" top="0.75" bottom="0.75" header="0.3" footer="0.3"/>
    </customSheetView>
    <customSheetView guid="{8DA78CF1-615A-4626-9893-6751995631A4}" topLeftCell="B1">
      <selection activeCell="F22" sqref="F22"/>
      <pageMargins left="0.7" right="0.7" top="0.75" bottom="0.75" header="0.3" footer="0.3"/>
      <pageSetup paperSize="9" orientation="portrait" horizontalDpi="1200" verticalDpi="1200" r:id="rId1"/>
    </customSheetView>
    <customSheetView guid="{687A4863-1825-4D63-B732-E76682E6DE4F}" scale="42">
      <selection activeCell="B3" sqref="B3"/>
      <pageMargins left="0.7" right="0.7" top="0.75" bottom="0.75" header="0.3" footer="0.3"/>
    </customSheetView>
    <customSheetView guid="{899D69CD-4B7E-42BC-9944-5BD922EB798C}" topLeftCell="B1">
      <selection activeCell="H12" sqref="H12"/>
      <pageMargins left="0.7" right="0.7" top="0.75" bottom="0.75" header="0.3" footer="0.3"/>
    </customSheetView>
    <customSheetView guid="{9AF4A83C-CF57-4B40-8A74-6A0EA6C2FE5C}">
      <selection activeCell="B12" sqref="B12"/>
      <pageMargins left="0.7" right="0.7" top="0.75" bottom="0.75" header="0.3" footer="0.3"/>
      <pageSetup paperSize="9" orientation="portrait" horizontalDpi="1200" verticalDpi="1200" r:id="rId2"/>
    </customSheetView>
    <customSheetView guid="{57267270-6A97-4850-9DB6-FE6B399379AA}" scale="110" topLeftCell="C1">
      <selection activeCell="M15" sqref="M15"/>
      <pageMargins left="0.7" right="0.7" top="0.75" bottom="0.75" header="0.3" footer="0.3"/>
      <pageSetup paperSize="9" orientation="portrait" horizontalDpi="1200" verticalDpi="1200" r:id="rId3"/>
    </customSheetView>
    <customSheetView guid="{12F8D032-8143-430B-8DFF-852E8796C402}">
      <selection activeCell="B3" sqref="B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2</vt:i4>
      </vt:variant>
    </vt:vector>
  </HeadingPairs>
  <TitlesOfParts>
    <vt:vector size="22"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Wybrane dane niefinansowe </vt:lpstr>
      <vt:lpstr>Jakość należności od klientów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2020-02-20T13:25:07Z</dcterms:modified>
</cp:coreProperties>
</file>