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48.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0.xml" ContentType="application/vnd.openxmlformats-officedocument.spreadsheetml.revisionLog+xml"/>
  <Override PartName="/xl/revisions/revisionLog22.xml" ContentType="application/vnd.openxmlformats-officedocument.spreadsheetml.revisionLog+xml"/>
  <Override PartName="/xl/revisions/revisionLog43.xml" ContentType="application/vnd.openxmlformats-officedocument.spreadsheetml.revisionLog+xml"/>
  <Override PartName="/xl/revisions/revisionLog5.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1.xml" ContentType="application/vnd.openxmlformats-officedocument.spreadsheetml.revisionLog+xml"/>
  <Override PartName="/xl/revisions/revisionLog26.xml" ContentType="application/vnd.openxmlformats-officedocument.spreadsheetml.revisionLog+xml"/>
  <Override PartName="/xl/revisions/revisionLog34.xml" ContentType="application/vnd.openxmlformats-officedocument.spreadsheetml.revisionLog+xml"/>
  <Override PartName="/xl/revisions/revisionLog39.xml" ContentType="application/vnd.openxmlformats-officedocument.spreadsheetml.revisionLog+xml"/>
  <Override PartName="/xl/revisions/revisionLog47.xml" ContentType="application/vnd.openxmlformats-officedocument.spreadsheetml.revisionLog+xml"/>
  <Override PartName="/xl/revisions/revisionLog42.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7.xml" ContentType="application/vnd.openxmlformats-officedocument.spreadsheetml.revisionLog+xml"/>
  <Override PartName="/xl/revisions/revisionLog30.xml" ContentType="application/vnd.openxmlformats-officedocument.spreadsheetml.revisionLog+xml"/>
  <Override PartName="/xl/revisions/revisionLog38.xml" ContentType="application/vnd.openxmlformats-officedocument.spreadsheetml.revisionLog+xml"/>
  <Override PartName="/xl/revisions/revisionLog12.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41.xml" ContentType="application/vnd.openxmlformats-officedocument.spreadsheetml.revisionLog+xml"/>
  <Override PartName="/xl/revisions/revisionLog46.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11.xml" ContentType="application/vnd.openxmlformats-officedocument.spreadsheetml.revisionLog+xml"/>
  <Override PartName="/xl/revisions/revisionLog16.xml" ContentType="application/vnd.openxmlformats-officedocument.spreadsheetml.revisionLog+xml"/>
  <Override PartName="/xl/revisions/revisionLog24.xml" ContentType="application/vnd.openxmlformats-officedocument.spreadsheetml.revisionLog+xml"/>
  <Override PartName="/xl/revisions/revisionLog29.xml" ContentType="application/vnd.openxmlformats-officedocument.spreadsheetml.revisionLog+xml"/>
  <Override PartName="/xl/revisions/revisionLog37.xml" ContentType="application/vnd.openxmlformats-officedocument.spreadsheetml.revisionLog+xml"/>
  <Override PartName="/xl/revisions/revisionLog45.xml" ContentType="application/vnd.openxmlformats-officedocument.spreadsheetml.revisionLog+xml"/>
  <Override PartName="/xl/revisions/revisionLog7.xml" ContentType="application/vnd.openxmlformats-officedocument.spreadsheetml.revisionLog+xml"/>
  <Override PartName="/xl/revisions/revisionLog20.xml" ContentType="application/vnd.openxmlformats-officedocument.spreadsheetml.revisionLog+xml"/>
  <Override PartName="/xl/revisions/revisionLog28.xml" ContentType="application/vnd.openxmlformats-officedocument.spreadsheetml.revisionLog+xml"/>
  <Override PartName="/xl/revisions/revisionLog32.xml" ContentType="application/vnd.openxmlformats-officedocument.spreadsheetml.revisionLog+xml"/>
  <Override PartName="/xl/revisions/revisionLog2.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31.xml" ContentType="application/vnd.openxmlformats-officedocument.spreadsheetml.revisionLog+xml"/>
  <Override PartName="/xl/revisions/revisionLog36.xml" ContentType="application/vnd.openxmlformats-officedocument.spreadsheetml.revisionLog+xml"/>
  <Override PartName="/xl/revisions/revisionLog44.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Override PartName="/xl/revisions/revisionLog27.xml" ContentType="application/vnd.openxmlformats-officedocument.spreadsheetml.revisionLog+xml"/>
  <Override PartName="/xl/revisions/revisionLog35.xml" ContentType="application/vnd.openxmlformats-officedocument.spreadsheetml.revisionLog+xml"/>
  <Override PartName="/xl/revisions/revisionLog4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WZ\"/>
    </mc:Choice>
  </mc:AlternateContent>
  <bookViews>
    <workbookView xWindow="0" yWindow="0" windowWidth="9600" windowHeight="3300" firstSheet="13" activeTab="19"/>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Jakość należności od klientów " sheetId="19" r:id="rId18"/>
    <sheet name="Arkusz2" sheetId="20" state="hidden" r:id="rId19"/>
    <sheet name="Wybrane dane niefinansowe " sheetId="18"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BS!$C$1:$D$50</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PrintArea" localSheetId="1" hidden="1">BS!$A$1:$P$50</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746490BF_9C44_4B41_8803_BEC9E453576A_.wvu.Cols" localSheetId="12" hidden="1">'Aktywa i zobow. fin. do obrotu'!$M:$P</definedName>
    <definedName name="Z_746490BF_9C44_4B41_8803_BEC9E453576A_.wvu.PrintArea" localSheetId="1" hidden="1">BS!$A$1:$P$50</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BS!$A$1:$P$50</definedName>
    <definedName name="Z_899D69CD_4B7E_42BC_9944_5BD922EB798C_.wvu.Rows" localSheetId="7" hidden="1">'Należności od klientów'!$8:$8</definedName>
    <definedName name="Z_8DA78CF1_615A_4626_9893_6751995631A4_.wvu.Cols" localSheetId="12" hidden="1">'Aktywa i zobow. fin. do obrotu'!$M:$P</definedName>
    <definedName name="Z_8DA78CF1_615A_4626_9893_6751995631A4_.wvu.PrintArea" localSheetId="1" hidden="1">BS!$A$1:$P$50</definedName>
    <definedName name="Z_8DA78CF1_615A_4626_9893_6751995631A4_.wvu.Rows" localSheetId="1" hidden="1">BS!#REF!</definedName>
    <definedName name="Z_8DA78CF1_615A_4626_9893_6751995631A4_.wvu.Rows" localSheetId="0" hidden="1">'P&amp;L'!#REF!</definedName>
    <definedName name="Z_8FDDB7D7_275F_4F23_B770_BAF5AFA4F358_.wvu.Cols" localSheetId="12" hidden="1">'Aktywa i zobow. fin. do obrotu'!$M:$P</definedName>
    <definedName name="Z_8FDDB7D7_275F_4F23_B770_BAF5AFA4F358_.wvu.PrintArea" localSheetId="1" hidden="1">BS!$A$1:$P$50</definedName>
    <definedName name="Z_9788B417_CC07_4FDA_845B_D10161BBB5F4_.wvu.Rows" localSheetId="19" hidden="1">'Wybrane dane niefinansowe '!#REF!,'Wybrane dane niefinansowe '!#REF!</definedName>
    <definedName name="Z_9AF4A83C_CF57_4B40_8A74_6A0EA6C2FE5C_.wvu.Cols" localSheetId="12" hidden="1">'Aktywa i zobow. fin. do obrotu'!$D:$N,'Aktywa i zobow. fin. do obrotu'!$P:$P</definedName>
    <definedName name="Z_9AF4A83C_CF57_4B40_8A74_6A0EA6C2FE5C_.wvu.Cols" localSheetId="1" hidden="1">BS!$D:$O</definedName>
    <definedName name="Z_9AF4A83C_CF57_4B40_8A74_6A0EA6C2FE5C_.wvu.Cols" localSheetId="8" hidden="1">'Inwestycyjne aktywa finansowe'!$C:$O</definedName>
    <definedName name="Z_9AF4A83C_CF57_4B40_8A74_6A0EA6C2FE5C_.wvu.Cols" localSheetId="0" hidden="1">'P&amp;L'!$C:$J</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Ginter Kamila - Widok osobisty" guid="{8FDDB7D7-275F-4F23-B770-BAF5AFA4F358}" mergeInterval="0" personalView="1" maximized="1" xWindow="-8" yWindow="-8" windowWidth="1382" windowHeight="744" activeSheetId="18"/>
    <customWorkbookView name="Słaba Dorota - Widok osobisty" guid="{12F8D032-8143-430B-8DFF-852E8796C402}" mergeInterval="0" personalView="1" maximized="1" xWindow="-11" yWindow="-11" windowWidth="1942" windowHeight="1042" activeSheetId="1"/>
    <customWorkbookView name="Kozłowska Agnieszka B - Widok osobisty" guid="{687A4863-1825-4D63-B732-E76682E6DE4F}" mergeInterval="0" personalView="1" xWindow="36" yWindow="84" windowWidth="1918" windowHeight="970" tabRatio="820" activeSheetId="17"/>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1"/>
    <customWorkbookView name="Dziadczyk Marzena - Widok osobisty" guid="{8DA78CF1-615A-4626-9893-6751995631A4}" mergeInterval="0" personalView="1" maximized="1" xWindow="-11" yWindow="-11" windowWidth="1942" windowHeight="1042" tabRatio="820" activeSheetId="5"/>
    <customWorkbookView name="Kosowska Bożena - Widok osobisty" guid="{25FAB884-5E17-4008-8139-33D910C7DEFE}" mergeInterval="0" personalView="1" maximized="1" xWindow="-1928" yWindow="242" windowWidth="1552" windowHeight="840" tabRatio="655" activeSheetId="7"/>
    <customWorkbookView name="Chudyma Marta - Widok osobisty" guid="{899D69CD-4B7E-42BC-9944-5BD922EB798C}" mergeInterval="0" personalView="1" xWindow="38" yWindow="8" windowWidth="1600" windowHeight="981" tabRatio="655" activeSheetId="2"/>
    <customWorkbookView name="Stadler Dorota - Widok osobisty" guid="{9AF4A83C-CF57-4B40-8A74-6A0EA6C2FE5C}" mergeInterval="0" personalView="1" maximized="1" xWindow="1912" yWindow="-8" windowWidth="1696" windowHeight="1026" activeSheetId="2"/>
    <customWorkbookView name="Dowżycka Agnieszka - Widok osobisty" guid="{746490BF-9C44-4B41-8803-BEC9E453576A}" mergeInterval="0" personalView="1" xWindow="5" windowWidth="1897" windowHeight="1040" activeSheetId="18"/>
  </customWorkbookViews>
</workbook>
</file>

<file path=xl/calcChain.xml><?xml version="1.0" encoding="utf-8"?>
<calcChain xmlns="http://schemas.openxmlformats.org/spreadsheetml/2006/main">
  <c r="Q16" i="11" l="1"/>
  <c r="M18" i="10" l="1"/>
  <c r="M13" i="10"/>
  <c r="M8" i="10"/>
  <c r="M3" i="10"/>
  <c r="Q10" i="8"/>
  <c r="Q12" i="8" s="1"/>
  <c r="M23" i="10" l="1"/>
  <c r="Q10" i="6"/>
  <c r="Q13" i="14" l="1"/>
  <c r="Q12" i="15"/>
  <c r="Q13" i="11"/>
  <c r="Q7" i="11"/>
  <c r="Q3" i="11"/>
  <c r="Q17" i="11" l="1"/>
  <c r="N12" i="15" l="1"/>
  <c r="Q49" i="4" l="1"/>
  <c r="Q48" i="4"/>
  <c r="Q47" i="4"/>
  <c r="Q58" i="4" s="1"/>
  <c r="Q46" i="4"/>
  <c r="Q64" i="4" s="1"/>
  <c r="Q45" i="4"/>
  <c r="Q56" i="4" s="1"/>
  <c r="Q44" i="4"/>
  <c r="Q57" i="4" s="1"/>
  <c r="Q43" i="4"/>
  <c r="Q41" i="4"/>
  <c r="Q62" i="4" s="1"/>
  <c r="Q40" i="4"/>
  <c r="Q61" i="4" s="1"/>
  <c r="Q39" i="4"/>
  <c r="Q59" i="4" s="1"/>
  <c r="Q38" i="4"/>
  <c r="Q37" i="4"/>
  <c r="Q36" i="4"/>
  <c r="Q54" i="4" s="1"/>
  <c r="Q16" i="4"/>
  <c r="Q50" i="4" l="1"/>
  <c r="Q65" i="4" s="1"/>
  <c r="Q42" i="4"/>
  <c r="Q63" i="4"/>
  <c r="Q60" i="4"/>
  <c r="Q31" i="4"/>
  <c r="Q33" i="4" s="1"/>
  <c r="R38" i="13"/>
  <c r="R27" i="13"/>
  <c r="R32" i="13" s="1"/>
  <c r="R21" i="13"/>
  <c r="R18" i="13"/>
  <c r="R26" i="13" s="1"/>
  <c r="R35" i="13" s="1"/>
  <c r="R12" i="13"/>
  <c r="R10" i="13"/>
  <c r="R8" i="13"/>
  <c r="R2" i="13"/>
  <c r="R13" i="9"/>
  <c r="R12" i="9"/>
  <c r="R15" i="9"/>
  <c r="R10" i="9"/>
  <c r="R8" i="9"/>
  <c r="R5" i="9"/>
  <c r="Q51" i="4" l="1"/>
  <c r="Q66" i="4"/>
  <c r="R39" i="13"/>
  <c r="R7" i="13"/>
  <c r="R6" i="13" s="1"/>
  <c r="R15" i="13" s="1"/>
  <c r="R22" i="13" s="1"/>
  <c r="R3" i="9"/>
  <c r="R19" i="9" s="1"/>
  <c r="R20" i="9" s="1"/>
  <c r="Q33" i="5" l="1"/>
  <c r="Q31" i="5"/>
  <c r="Q12" i="5"/>
  <c r="Q9" i="5"/>
  <c r="Q12" i="12"/>
  <c r="Q8" i="12"/>
  <c r="Q4" i="12"/>
  <c r="Q6" i="12" s="1"/>
  <c r="Q27" i="3"/>
  <c r="Q22" i="3"/>
  <c r="Q19" i="3"/>
  <c r="Q11" i="3"/>
  <c r="Q10" i="3"/>
  <c r="Q9" i="3"/>
  <c r="Q8" i="3"/>
  <c r="Q7" i="3"/>
  <c r="Q6" i="3"/>
  <c r="Q5" i="3"/>
  <c r="Q4" i="3"/>
  <c r="Q3" i="3"/>
  <c r="Q2" i="3" s="1"/>
  <c r="Q35" i="3" s="1"/>
  <c r="Q11" i="7"/>
  <c r="Q8" i="7"/>
  <c r="Q12" i="7" l="1"/>
  <c r="Q13" i="7" s="1"/>
  <c r="S27" i="2"/>
  <c r="G17" i="2"/>
  <c r="F17" i="2"/>
  <c r="E17" i="2"/>
  <c r="D17" i="2"/>
  <c r="S40" i="2"/>
  <c r="S42" i="2"/>
  <c r="S49" i="2" s="1"/>
  <c r="S50" i="2" l="1"/>
  <c r="P10" i="8"/>
  <c r="P12" i="8" s="1"/>
  <c r="L24" i="10" l="1"/>
  <c r="K24" i="10"/>
  <c r="L18" i="10"/>
  <c r="L13" i="10"/>
  <c r="L8" i="10"/>
  <c r="L3" i="10"/>
  <c r="L23" i="10" l="1"/>
  <c r="P10" i="6"/>
  <c r="P33" i="5" l="1"/>
  <c r="Q10" i="13"/>
  <c r="Q8" i="13"/>
  <c r="Q21" i="13"/>
  <c r="Q18" i="13"/>
  <c r="Q26" i="13" s="1"/>
  <c r="Q35" i="13" s="1"/>
  <c r="Q12" i="13"/>
  <c r="Q10" i="9"/>
  <c r="Q8" i="9"/>
  <c r="P11" i="7" l="1"/>
  <c r="P8" i="7"/>
  <c r="P12" i="7" s="1"/>
  <c r="P13" i="7" s="1"/>
  <c r="Q38" i="13"/>
  <c r="Q27" i="13"/>
  <c r="Q32" i="13" s="1"/>
  <c r="Q7" i="13"/>
  <c r="Q6" i="13" s="1"/>
  <c r="Q2" i="13"/>
  <c r="Q15" i="9"/>
  <c r="Q5" i="9"/>
  <c r="Q3" i="9" s="1"/>
  <c r="P12" i="12"/>
  <c r="P4" i="12"/>
  <c r="P6" i="12" s="1"/>
  <c r="P8" i="12"/>
  <c r="P31" i="5"/>
  <c r="P12" i="5"/>
  <c r="P9" i="5"/>
  <c r="P3" i="3"/>
  <c r="P4" i="3"/>
  <c r="P5" i="3"/>
  <c r="P6" i="3"/>
  <c r="P7" i="3"/>
  <c r="P8" i="3"/>
  <c r="P9" i="3"/>
  <c r="P10" i="3"/>
  <c r="Q19" i="9" l="1"/>
  <c r="Q20" i="9" s="1"/>
  <c r="Q15" i="13"/>
  <c r="Q22" i="13" s="1"/>
  <c r="Q39" i="13"/>
  <c r="P27" i="3"/>
  <c r="P22" i="3"/>
  <c r="P19" i="3"/>
  <c r="P11" i="3"/>
  <c r="P2" i="3"/>
  <c r="P35" i="3" l="1"/>
  <c r="P12" i="15" l="1"/>
  <c r="P13" i="14" l="1"/>
  <c r="O17" i="11"/>
  <c r="O13" i="11"/>
  <c r="P13" i="11"/>
  <c r="O7" i="11"/>
  <c r="P7" i="11"/>
  <c r="O3" i="11"/>
  <c r="P3" i="11"/>
  <c r="P49" i="4"/>
  <c r="P48" i="4"/>
  <c r="P47" i="4"/>
  <c r="P46" i="4"/>
  <c r="P45" i="4"/>
  <c r="P44" i="4"/>
  <c r="P43" i="4"/>
  <c r="P42" i="4"/>
  <c r="P41" i="4"/>
  <c r="P40" i="4"/>
  <c r="P39" i="4"/>
  <c r="P38" i="4"/>
  <c r="P37" i="4"/>
  <c r="P17" i="11" l="1"/>
  <c r="P30" i="4" l="1"/>
  <c r="P50" i="4" s="1"/>
  <c r="P51" i="4" s="1"/>
  <c r="P64" i="4"/>
  <c r="P63" i="4"/>
  <c r="P62" i="4"/>
  <c r="P61" i="4"/>
  <c r="P60" i="4"/>
  <c r="P59" i="4"/>
  <c r="P58" i="4"/>
  <c r="P57" i="4"/>
  <c r="P56" i="4"/>
  <c r="P36" i="4"/>
  <c r="P54" i="4" s="1"/>
  <c r="P31" i="4"/>
  <c r="P16" i="4"/>
  <c r="P65" i="4" l="1"/>
  <c r="P66" i="4" s="1"/>
  <c r="P33" i="4"/>
  <c r="K11" i="15" l="1"/>
  <c r="S16" i="18" l="1"/>
  <c r="K3" i="10" l="1"/>
  <c r="K13" i="10"/>
  <c r="K8" i="10"/>
  <c r="K18" i="10"/>
  <c r="O10" i="8"/>
  <c r="O12" i="8" s="1"/>
  <c r="K23" i="10" l="1"/>
  <c r="O10" i="6"/>
  <c r="N17" i="11" l="1"/>
  <c r="O12" i="15"/>
  <c r="O13" i="14" l="1"/>
  <c r="O17" i="3" l="1"/>
  <c r="O15" i="3"/>
  <c r="O13" i="3"/>
  <c r="O29" i="3"/>
  <c r="O28" i="3"/>
  <c r="O24" i="3" l="1"/>
  <c r="O4" i="3" s="1"/>
  <c r="O12" i="12" l="1"/>
  <c r="O8" i="12"/>
  <c r="O2" i="12"/>
  <c r="O4" i="12" s="1"/>
  <c r="O6" i="12" s="1"/>
  <c r="O35" i="5"/>
  <c r="O33" i="5" s="1"/>
  <c r="O28" i="5"/>
  <c r="O31" i="5" s="1"/>
  <c r="O12" i="5"/>
  <c r="O9" i="5"/>
  <c r="O5" i="3" l="1"/>
  <c r="O22" i="3"/>
  <c r="O7" i="3"/>
  <c r="O8" i="3"/>
  <c r="O9" i="3"/>
  <c r="O10" i="3"/>
  <c r="O11" i="3"/>
  <c r="O27" i="3" l="1"/>
  <c r="O6" i="3"/>
  <c r="O19" i="3"/>
  <c r="O3" i="3"/>
  <c r="O2" i="3" s="1"/>
  <c r="O35" i="3" l="1"/>
  <c r="H10" i="6" l="1"/>
  <c r="I10" i="6"/>
  <c r="J10" i="6"/>
  <c r="K10" i="6"/>
  <c r="L10" i="6"/>
  <c r="M10" i="6"/>
  <c r="N10" i="6"/>
  <c r="C7" i="11" l="1"/>
  <c r="D7" i="11"/>
  <c r="E7" i="11"/>
  <c r="F7" i="11"/>
  <c r="G7" i="11"/>
  <c r="H7" i="11"/>
  <c r="I7" i="11"/>
  <c r="J7" i="11"/>
  <c r="K7" i="11"/>
  <c r="L7" i="11"/>
  <c r="M7" i="11"/>
  <c r="N7" i="11"/>
  <c r="C13" i="11"/>
  <c r="D13" i="11"/>
  <c r="E13" i="11"/>
  <c r="F13" i="11"/>
  <c r="G13" i="11"/>
  <c r="H13" i="11"/>
  <c r="I13" i="11"/>
  <c r="J13" i="11"/>
  <c r="K13" i="11"/>
  <c r="L13" i="11"/>
  <c r="M13" i="11"/>
  <c r="N13" i="11"/>
  <c r="O56" i="4"/>
  <c r="O57" i="4"/>
  <c r="O58" i="4"/>
  <c r="O59" i="4"/>
  <c r="O60" i="4"/>
  <c r="O61" i="4"/>
  <c r="O62" i="4"/>
  <c r="O63" i="4"/>
  <c r="O64" i="4"/>
  <c r="O65" i="4"/>
  <c r="O30" i="4"/>
  <c r="O51" i="4" l="1"/>
  <c r="O36" i="4"/>
  <c r="O54" i="4" s="1"/>
  <c r="O31" i="4"/>
  <c r="O16" i="4"/>
  <c r="O66" i="4" l="1"/>
  <c r="O33" i="4"/>
  <c r="P38" i="13" l="1"/>
  <c r="P27" i="13"/>
  <c r="P32" i="13" s="1"/>
  <c r="P21" i="13"/>
  <c r="P18" i="13"/>
  <c r="P26" i="13" s="1"/>
  <c r="P35" i="13" s="1"/>
  <c r="P12" i="13"/>
  <c r="P10" i="13"/>
  <c r="P8" i="13"/>
  <c r="P2" i="13"/>
  <c r="P15" i="9"/>
  <c r="P10" i="9"/>
  <c r="P8" i="9"/>
  <c r="P5" i="9"/>
  <c r="P7" i="13" l="1"/>
  <c r="P6" i="13" s="1"/>
  <c r="P15" i="13" s="1"/>
  <c r="P3" i="9"/>
  <c r="P19" i="9" s="1"/>
  <c r="O11" i="7" l="1"/>
  <c r="O8" i="7"/>
  <c r="O12" i="7" l="1"/>
  <c r="P39" i="13" l="1"/>
  <c r="P20" i="9"/>
  <c r="P22" i="13"/>
  <c r="O13" i="7" l="1"/>
  <c r="G17" i="19" l="1"/>
  <c r="G16" i="19"/>
  <c r="G15" i="19"/>
  <c r="C2" i="3" l="1"/>
  <c r="D2" i="3"/>
  <c r="E2" i="3"/>
  <c r="F2" i="3"/>
  <c r="H6" i="3"/>
  <c r="I6" i="3"/>
  <c r="J6" i="3"/>
  <c r="K6" i="3"/>
  <c r="L6" i="3"/>
  <c r="M6" i="3"/>
  <c r="N6" i="3"/>
  <c r="G6" i="3"/>
  <c r="H7" i="3"/>
  <c r="I7" i="3"/>
  <c r="J7" i="3"/>
  <c r="K7" i="3"/>
  <c r="L7" i="3"/>
  <c r="M7" i="3"/>
  <c r="N7" i="3"/>
  <c r="G7" i="3"/>
  <c r="N11" i="8" l="1"/>
  <c r="F10" i="9"/>
  <c r="E31" i="13" l="1"/>
  <c r="C31" i="13"/>
  <c r="D31" i="13"/>
  <c r="F31" i="13"/>
  <c r="G31" i="13"/>
  <c r="H31" i="13"/>
  <c r="I31" i="13"/>
  <c r="J31" i="13"/>
  <c r="K31" i="13"/>
  <c r="L31" i="13"/>
  <c r="M31" i="13"/>
  <c r="G15" i="9" l="1"/>
  <c r="G8" i="9"/>
  <c r="G5" i="9"/>
  <c r="G10" i="9"/>
  <c r="G21" i="13"/>
  <c r="G12" i="13"/>
  <c r="G10" i="13"/>
  <c r="G8" i="13"/>
  <c r="G2" i="13"/>
  <c r="G38" i="13"/>
  <c r="G27" i="13"/>
  <c r="G7" i="13" l="1"/>
  <c r="G6" i="13" s="1"/>
  <c r="G15" i="13" s="1"/>
  <c r="G3" i="9"/>
  <c r="G19" i="9" s="1"/>
  <c r="G20" i="9" s="1"/>
  <c r="G32" i="13"/>
  <c r="G39" i="13" s="1"/>
  <c r="F11" i="10" l="1"/>
  <c r="F8" i="10"/>
  <c r="G21" i="9"/>
  <c r="F18" i="10"/>
  <c r="F13" i="10"/>
  <c r="F3" i="10"/>
  <c r="F23" i="10" l="1"/>
  <c r="J18" i="10" l="1"/>
  <c r="J13" i="10"/>
  <c r="J3" i="10"/>
  <c r="J8" i="10"/>
  <c r="N10" i="8"/>
  <c r="N12" i="8" s="1"/>
  <c r="J23" i="10" l="1"/>
  <c r="N3" i="11" l="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K3" i="3"/>
  <c r="J3" i="3"/>
  <c r="I3" i="3"/>
  <c r="H3" i="3"/>
  <c r="G3" i="3"/>
  <c r="N5" i="3"/>
  <c r="N10" i="3"/>
  <c r="N9" i="3"/>
  <c r="N8" i="3"/>
  <c r="N4" i="3"/>
  <c r="N3" i="3"/>
  <c r="J2" i="3" l="1"/>
  <c r="G2" i="3"/>
  <c r="K2" i="3"/>
  <c r="H2" i="3"/>
  <c r="L2" i="3"/>
  <c r="N2" i="3"/>
  <c r="I2" i="3"/>
  <c r="M2" i="3"/>
  <c r="N12" i="12" l="1"/>
  <c r="N4" i="12"/>
  <c r="N6" i="12" s="1"/>
  <c r="N8" i="12"/>
  <c r="O38" i="13"/>
  <c r="O27" i="13"/>
  <c r="O32" i="13" s="1"/>
  <c r="O21" i="13"/>
  <c r="O18" i="13"/>
  <c r="O26" i="13" s="1"/>
  <c r="O35" i="13" s="1"/>
  <c r="O12" i="13"/>
  <c r="O10" i="13"/>
  <c r="O8" i="13"/>
  <c r="O2" i="13"/>
  <c r="O15" i="9"/>
  <c r="O10" i="9"/>
  <c r="O8" i="9"/>
  <c r="O5" i="9"/>
  <c r="N12" i="5"/>
  <c r="N9" i="5"/>
  <c r="N11" i="3"/>
  <c r="N19" i="3"/>
  <c r="N22" i="3"/>
  <c r="O3" i="9" l="1"/>
  <c r="O39" i="13"/>
  <c r="O7" i="13"/>
  <c r="O6" i="13" s="1"/>
  <c r="O15" i="13" s="1"/>
  <c r="O22" i="13" s="1"/>
  <c r="N27" i="3"/>
  <c r="N35" i="3" s="1"/>
  <c r="N33" i="5"/>
  <c r="N31" i="5"/>
  <c r="N11" i="7"/>
  <c r="N8" i="7"/>
  <c r="N12" i="7" s="1"/>
  <c r="O19" i="9" l="1"/>
  <c r="O20" i="9" s="1"/>
  <c r="M63" i="4"/>
  <c r="N56" i="4"/>
  <c r="M56" i="4"/>
  <c r="M57" i="4"/>
  <c r="N57" i="4"/>
  <c r="M58" i="4"/>
  <c r="N58" i="4"/>
  <c r="M59" i="4"/>
  <c r="N59" i="4"/>
  <c r="M60" i="4"/>
  <c r="N60" i="4"/>
  <c r="M61" i="4"/>
  <c r="N61" i="4"/>
  <c r="M62" i="4"/>
  <c r="N62" i="4"/>
  <c r="N63" i="4"/>
  <c r="M64" i="4"/>
  <c r="N64" i="4"/>
  <c r="M65" i="4"/>
  <c r="N65" i="4"/>
  <c r="N36" i="4" l="1"/>
  <c r="N54" i="4" s="1"/>
  <c r="N51" i="4"/>
  <c r="N66" i="4"/>
  <c r="N31" i="4"/>
  <c r="N16" i="4" l="1"/>
  <c r="N33" i="4" s="1"/>
  <c r="F17" i="19" l="1"/>
  <c r="F16" i="19"/>
  <c r="F15" i="19"/>
  <c r="I3" i="10" l="1"/>
  <c r="E18" i="10"/>
  <c r="I18" i="10"/>
  <c r="I13" i="10"/>
  <c r="I8" i="10"/>
  <c r="E13" i="10"/>
  <c r="E8" i="10"/>
  <c r="E3" i="10"/>
  <c r="I23" i="10" l="1"/>
  <c r="I24" i="10" s="1"/>
  <c r="E23" i="10"/>
  <c r="E24" i="10" s="1"/>
  <c r="M12" i="12" l="1"/>
  <c r="M8" i="12"/>
  <c r="M4" i="12"/>
  <c r="M6" i="12" s="1"/>
  <c r="M27" i="3" l="1"/>
  <c r="M22" i="3"/>
  <c r="M19" i="3"/>
  <c r="M11" i="3"/>
  <c r="M35" i="3"/>
  <c r="M10" i="8"/>
  <c r="M12" i="8" s="1"/>
  <c r="M12" i="5" l="1"/>
  <c r="M33" i="5"/>
  <c r="M31" i="5"/>
  <c r="M9" i="5"/>
  <c r="M11" i="7" l="1"/>
  <c r="M8" i="7"/>
  <c r="M12" i="7" l="1"/>
  <c r="M13" i="7" s="1"/>
  <c r="N15" i="9"/>
  <c r="N10" i="9"/>
  <c r="N8" i="9"/>
  <c r="N5" i="9"/>
  <c r="N3" i="9" l="1"/>
  <c r="N19" i="9" s="1"/>
  <c r="L50" i="4"/>
  <c r="L49" i="4"/>
  <c r="L48" i="4"/>
  <c r="L47" i="4"/>
  <c r="L58" i="4" s="1"/>
  <c r="L46" i="4"/>
  <c r="L64" i="4" s="1"/>
  <c r="L45" i="4"/>
  <c r="L56" i="4" s="1"/>
  <c r="L44" i="4"/>
  <c r="L57" i="4" s="1"/>
  <c r="L43" i="4"/>
  <c r="L42" i="4"/>
  <c r="L41" i="4"/>
  <c r="L62" i="4" s="1"/>
  <c r="L40" i="4"/>
  <c r="L61" i="4" s="1"/>
  <c r="L39" i="4"/>
  <c r="L59" i="4" s="1"/>
  <c r="L38" i="4"/>
  <c r="L37" i="4"/>
  <c r="L60" i="4" s="1"/>
  <c r="L31" i="4"/>
  <c r="L63" i="4" l="1"/>
  <c r="N20" i="9"/>
  <c r="L65" i="4"/>
  <c r="L51" i="4"/>
  <c r="L66" i="4" l="1"/>
  <c r="M31" i="4"/>
  <c r="L16" i="4" l="1"/>
  <c r="L33" i="4" s="1"/>
  <c r="M12" i="15"/>
  <c r="M13" i="14"/>
  <c r="D13" i="14"/>
  <c r="E13" i="14"/>
  <c r="F13" i="14"/>
  <c r="G13" i="14"/>
  <c r="H13" i="14"/>
  <c r="I13" i="14"/>
  <c r="J13" i="14"/>
  <c r="K13" i="14"/>
  <c r="L13" i="14"/>
  <c r="M51" i="4" l="1"/>
  <c r="M16" i="4"/>
  <c r="M33" i="4" s="1"/>
  <c r="M3" i="11"/>
  <c r="M66" i="4" l="1"/>
  <c r="M17" i="11"/>
  <c r="N38" i="13" l="1"/>
  <c r="N27" i="13"/>
  <c r="N32" i="13" s="1"/>
  <c r="N39" i="13" s="1"/>
  <c r="N2" i="13"/>
  <c r="N8" i="13"/>
  <c r="N10" i="13"/>
  <c r="N12" i="13"/>
  <c r="N18" i="13"/>
  <c r="N26" i="13" s="1"/>
  <c r="N35" i="13" s="1"/>
  <c r="N21" i="13"/>
  <c r="D10" i="13"/>
  <c r="E10" i="13"/>
  <c r="F10" i="13"/>
  <c r="H10" i="13"/>
  <c r="I10" i="13"/>
  <c r="J10" i="13"/>
  <c r="K10" i="13"/>
  <c r="L10" i="13"/>
  <c r="M10" i="13"/>
  <c r="C10" i="13"/>
  <c r="N7" i="13" l="1"/>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22" i="3" l="1"/>
  <c r="L4" i="12" l="1"/>
  <c r="L6" i="12" s="1"/>
  <c r="L12" i="12"/>
  <c r="I54" i="4" l="1"/>
  <c r="K54" i="4"/>
  <c r="E54" i="4"/>
  <c r="C35" i="13" l="1"/>
  <c r="M18" i="13"/>
  <c r="M26" i="13" s="1"/>
  <c r="M35" i="13" s="1"/>
  <c r="M12" i="13"/>
  <c r="M8" i="13"/>
  <c r="M7" i="13" l="1"/>
  <c r="M38" i="13"/>
  <c r="M27" i="13"/>
  <c r="M21" i="13"/>
  <c r="M6" i="13"/>
  <c r="M2" i="13"/>
  <c r="M15" i="13" l="1"/>
  <c r="M22" i="13" s="1"/>
  <c r="L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I65" i="4" l="1"/>
  <c r="G65" i="4"/>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5" i="9"/>
  <c r="L11" i="7"/>
  <c r="L8" i="7"/>
  <c r="M3" i="9"/>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M19" i="9" l="1"/>
  <c r="M20" i="9" s="1"/>
  <c r="L12" i="7"/>
  <c r="L13" i="7" s="1"/>
  <c r="C23" i="10"/>
  <c r="C24" i="10" s="1"/>
  <c r="G23" i="10"/>
  <c r="G24" i="10" s="1"/>
  <c r="G10" i="6"/>
  <c r="L15" i="9" l="1"/>
  <c r="H15" i="9"/>
  <c r="F8" i="7" l="1"/>
  <c r="E8" i="7"/>
  <c r="D8" i="7"/>
  <c r="C8" i="7"/>
  <c r="K8" i="7"/>
  <c r="J8" i="7"/>
  <c r="I8" i="7"/>
  <c r="H8" i="7"/>
  <c r="G8" i="7"/>
  <c r="F11" i="7"/>
  <c r="E11" i="7"/>
  <c r="D11" i="7"/>
  <c r="C11" i="7"/>
  <c r="F16" i="9"/>
  <c r="F4" i="9"/>
  <c r="D12" i="7" l="1"/>
  <c r="D13" i="7" s="1"/>
  <c r="C12" i="7"/>
  <c r="C13" i="7" s="1"/>
  <c r="E12" i="7"/>
  <c r="E13" i="7" s="1"/>
  <c r="F12" i="7"/>
  <c r="F13" i="7" s="1"/>
  <c r="F19" i="9"/>
  <c r="F20" i="9" s="1"/>
  <c r="E4" i="9"/>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F7" i="13"/>
  <c r="F6" i="13" s="1"/>
  <c r="C7" i="13"/>
  <c r="C6" i="13" s="1"/>
  <c r="C15" i="13" s="1"/>
  <c r="C22" i="13" s="1"/>
  <c r="E7" i="13"/>
  <c r="K7" i="13"/>
  <c r="K6" i="13" s="1"/>
  <c r="J7" i="13"/>
  <c r="J6" i="13" s="1"/>
  <c r="I7" i="13"/>
  <c r="I6" i="13" s="1"/>
  <c r="H6" i="13"/>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6" i="9" l="1"/>
  <c r="C10" i="9"/>
  <c r="C5" i="9"/>
  <c r="C4" i="9" l="1"/>
  <c r="C19" i="9" s="1"/>
  <c r="C20" i="9" s="1"/>
  <c r="D16" i="9" l="1"/>
  <c r="D10" i="9"/>
  <c r="D5" i="9"/>
  <c r="D4" i="9" l="1"/>
  <c r="D19" i="9" s="1"/>
  <c r="D20" i="9" s="1"/>
  <c r="E16" i="9" l="1"/>
  <c r="E19" i="9" s="1"/>
  <c r="E20" i="9" s="1"/>
  <c r="E10" i="9"/>
  <c r="E8" i="9"/>
  <c r="H12" i="9" l="1"/>
  <c r="H8" i="9"/>
  <c r="H10" i="9" l="1"/>
  <c r="H3" i="9" s="1"/>
  <c r="H19" i="9" s="1"/>
  <c r="H20" i="9" s="1"/>
  <c r="I12" i="9"/>
  <c r="I15" i="9"/>
  <c r="I10" i="9"/>
  <c r="I8" i="9"/>
  <c r="I3" i="9" l="1"/>
  <c r="J12" i="9"/>
  <c r="I19" i="9" l="1"/>
  <c r="I20" i="9" s="1"/>
  <c r="J15" i="9"/>
  <c r="J10" i="9"/>
  <c r="J8" i="9"/>
  <c r="J3" i="9" l="1"/>
  <c r="J19" i="9" s="1"/>
  <c r="J20" i="9" l="1"/>
  <c r="C9" i="5"/>
  <c r="K9" i="5"/>
  <c r="J9" i="5"/>
  <c r="I9" i="5"/>
  <c r="H9" i="5"/>
  <c r="G9" i="5"/>
  <c r="F9" i="5"/>
  <c r="E9" i="5"/>
  <c r="D9" i="5"/>
  <c r="K3" i="11"/>
  <c r="J3" i="11"/>
  <c r="J17" i="11" s="1"/>
  <c r="I3" i="11"/>
  <c r="I17" i="11" s="1"/>
  <c r="H3" i="11"/>
  <c r="G3" i="11"/>
  <c r="G17" i="11" s="1"/>
  <c r="F3" i="11"/>
  <c r="E3" i="11"/>
  <c r="D3" i="11"/>
  <c r="D17" i="11" s="1"/>
  <c r="C3" i="11"/>
  <c r="C17" i="11" s="1"/>
  <c r="K15" i="9"/>
  <c r="K12" i="9"/>
  <c r="K10" i="9"/>
  <c r="K8" i="9"/>
  <c r="K3" i="9" s="1"/>
  <c r="L12" i="9"/>
  <c r="L10" i="9"/>
  <c r="L8" i="9"/>
  <c r="K19" i="9" l="1"/>
  <c r="K20" i="9" s="1"/>
  <c r="E17" i="11"/>
  <c r="F17" i="11"/>
  <c r="L3" i="9"/>
  <c r="L19" i="9" s="1"/>
  <c r="K17" i="11"/>
  <c r="H17" i="11"/>
  <c r="C13" i="14"/>
  <c r="L20" i="9" l="1"/>
  <c r="G12" i="15"/>
  <c r="K12"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J12" i="8"/>
  <c r="F35" i="3"/>
  <c r="C35" i="3"/>
  <c r="D35" i="3"/>
  <c r="E35" i="3"/>
  <c r="E10" i="8"/>
  <c r="E12" i="8" s="1"/>
  <c r="L12" i="15" l="1"/>
  <c r="N13" i="7" l="1"/>
  <c r="J24" i="10" l="1"/>
  <c r="M32" i="13" l="1"/>
  <c r="M39" i="13" s="1"/>
  <c r="E32" i="13"/>
  <c r="E39" i="13" s="1"/>
  <c r="D32" i="13"/>
  <c r="D39" i="13" s="1"/>
  <c r="C32" i="13"/>
  <c r="C39" i="13" s="1"/>
</calcChain>
</file>

<file path=xl/sharedStrings.xml><?xml version="1.0" encoding="utf-8"?>
<sst xmlns="http://schemas.openxmlformats.org/spreadsheetml/2006/main" count="1170" uniqueCount="699">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</sst>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91">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62">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left" vertical="center"/>
    </xf>
    <xf numFmtId="0" fontId="52" fillId="0" borderId="0" xfId="0" applyFont="1" applyAlignment="1">
      <alignment horizontal="left" vertical="center" wrapText="1" shrinkToFit="1"/>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0" fontId="52" fillId="0" borderId="0" xfId="0" applyFont="1" applyAlignment="1">
      <alignment horizontal="left" vertical="center" wrapText="1" indent="1" shrinkToFit="1"/>
    </xf>
    <xf numFmtId="0" fontId="52" fillId="0" borderId="0" xfId="0" applyFont="1" applyAlignment="1">
      <alignment horizontal="left" vertical="top" wrapText="1" indent="1"/>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8" fillId="0" borderId="0" xfId="0" applyNumberFormat="1" applyFont="1"/>
    <xf numFmtId="0" fontId="69"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165" fontId="61" fillId="0" borderId="0" xfId="0" applyNumberFormat="1"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4" fillId="10" borderId="19" xfId="21871" applyNumberFormat="1" applyFont="1" applyFill="1" applyBorder="1" applyAlignment="1">
      <alignment horizontal="right" vertical="center" wrapText="1"/>
    </xf>
    <xf numFmtId="14" fontId="54"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0" fontId="39" fillId="0" borderId="0" xfId="0" applyFont="1" applyFill="1"/>
    <xf numFmtId="165" fontId="15" fillId="0" borderId="0" xfId="0" applyNumberFormat="1" applyFont="1" applyBorder="1"/>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2" fillId="0" borderId="1" xfId="0" applyNumberFormat="1" applyFont="1" applyBorder="1" applyAlignment="1">
      <alignment horizontal="right" vertical="top" indent="1"/>
    </xf>
    <xf numFmtId="165" fontId="83" fillId="0" borderId="1" xfId="0" applyNumberFormat="1" applyFont="1" applyBorder="1" applyAlignment="1">
      <alignment horizontal="right" indent="1"/>
    </xf>
    <xf numFmtId="165" fontId="83" fillId="0" borderId="1" xfId="0" applyNumberFormat="1" applyFont="1" applyFill="1" applyBorder="1" applyAlignment="1">
      <alignment horizontal="right" indent="1"/>
    </xf>
    <xf numFmtId="165" fontId="84" fillId="0" borderId="1" xfId="0" applyNumberFormat="1" applyFont="1" applyFill="1" applyBorder="1" applyAlignment="1">
      <alignment horizontal="right" indent="1"/>
    </xf>
    <xf numFmtId="165" fontId="84" fillId="0" borderId="1" xfId="0" applyNumberFormat="1" applyFont="1" applyBorder="1" applyAlignment="1">
      <alignment horizontal="right" indent="1"/>
    </xf>
    <xf numFmtId="165" fontId="85" fillId="0" borderId="18" xfId="0" applyNumberFormat="1" applyFont="1" applyBorder="1" applyAlignment="1">
      <alignment horizontal="right" vertical="top"/>
    </xf>
    <xf numFmtId="165" fontId="24" fillId="0" borderId="0" xfId="0" applyNumberFormat="1" applyFont="1"/>
    <xf numFmtId="14" fontId="86" fillId="0" borderId="22" xfId="0" applyNumberFormat="1" applyFont="1" applyBorder="1" applyAlignment="1">
      <alignment horizontal="right" vertical="top"/>
    </xf>
    <xf numFmtId="165" fontId="87" fillId="0" borderId="13" xfId="0" applyNumberFormat="1" applyFont="1" applyBorder="1" applyAlignment="1">
      <alignment horizontal="right" vertical="top" indent="1"/>
    </xf>
    <xf numFmtId="165" fontId="88" fillId="0" borderId="13" xfId="0" applyNumberFormat="1" applyFont="1" applyBorder="1" applyAlignment="1">
      <alignment horizontal="right" vertical="top" indent="1"/>
    </xf>
    <xf numFmtId="165" fontId="89" fillId="0" borderId="18" xfId="0" applyNumberFormat="1" applyFont="1" applyBorder="1" applyAlignment="1">
      <alignment horizontal="right" vertical="top"/>
    </xf>
    <xf numFmtId="165"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5" fontId="83" fillId="0" borderId="13" xfId="0" applyNumberFormat="1" applyFont="1" applyBorder="1" applyAlignment="1">
      <alignment horizontal="right" vertical="center" indent="1"/>
    </xf>
    <xf numFmtId="165" fontId="89" fillId="0" borderId="18" xfId="0" applyNumberFormat="1" applyFont="1" applyBorder="1" applyAlignment="1">
      <alignment horizontal="right" vertical="center"/>
    </xf>
    <xf numFmtId="165" fontId="83" fillId="0" borderId="13" xfId="0" applyNumberFormat="1" applyFont="1" applyBorder="1" applyAlignment="1">
      <alignment horizontal="right" vertical="top" indent="1"/>
    </xf>
    <xf numFmtId="165" fontId="83" fillId="0" borderId="0" xfId="0" applyNumberFormat="1" applyFont="1" applyAlignment="1">
      <alignment horizontal="right" vertical="top" indent="1"/>
    </xf>
    <xf numFmtId="165"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5" fontId="74"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3" fillId="0" borderId="0" xfId="0" applyNumberFormat="1" applyFont="1" applyFill="1"/>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4" fontId="24" fillId="0" borderId="0" xfId="0" applyNumberFormat="1" applyFont="1"/>
    <xf numFmtId="3" fontId="56" fillId="11" borderId="0" xfId="21871" applyNumberFormat="1" applyFont="1" applyFill="1" applyBorder="1" applyAlignment="1">
      <alignment horizontal="right" vertical="center" wrapText="1"/>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usernames" Target="revisions/userName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76" Type="http://schemas.openxmlformats.org/officeDocument/2006/relationships/revisionLog" Target="revisionLog47.xml"/><Relationship Id="rId77" Type="http://schemas.openxmlformats.org/officeDocument/2006/relationships/revisionLog" Target="revisionLog48.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0A0B59F-C01E-44DF-8494-0DE6B9D4EE50}" diskRevisions="1" revisionId="1839" version="2">
  <header guid="{9CB1E18F-4F3A-44DC-87FA-BBF8305C117D}" dateTime="2020-10-26T17:36:36" maxSheetId="22" userName="Dowżycka Agnieszka" r:id="rId76">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90A0B59F-C01E-44DF-8494-0DE6B9D4EE50}" dateTime="2021-05-13T13:28:24" maxSheetId="22" userName="Ginter Kamila" r:id="rId77">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46490BF-9C44-4B41-8803-BEC9E453576A}" action="delete"/>
  <rdn rId="0" localSheetId="2" customView="1" name="Z_746490BF_9C44_4B41_8803_BEC9E453576A_.wvu.PrintArea" hidden="1" oldHidden="1">
    <formula>BS!$A$1:$P$50</formula>
    <oldFormula>BS!$A$1:$P$50</oldFormula>
  </rdn>
  <rdn rId="0" localSheetId="13" customView="1" name="Z_746490BF_9C44_4B41_8803_BEC9E453576A_.wvu.Cols" hidden="1" oldHidden="1">
    <formula>'Aktywa i zobow. fin. do obrotu'!$M:$P</formula>
    <oldFormula>'Aktywa i zobow. fin. do obrotu'!$M:$P</oldFormula>
  </rdn>
  <rcv guid="{746490BF-9C44-4B41-8803-BEC9E453576A}"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8FDDB7D7_275F_4F23_B770_BAF5AFA4F358_.wvu.PrintArea" hidden="1" oldHidden="1">
    <formula>BS!$A$1:$P$50</formula>
  </rdn>
  <rdn rId="0" localSheetId="13" customView="1" name="Z_8FDDB7D7_275F_4F23_B770_BAF5AFA4F358_.wvu.Cols" hidden="1" oldHidden="1">
    <formula>'Aktywa i zobow. fin. do obrotu'!$M:$P</formula>
  </rdn>
  <rcv guid="{8FDDB7D7-275F-4F23-B770-BAF5AFA4F358}"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9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printerSettings" Target="../printerSettings/printerSettings28.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Normal="68"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6" customWidth="1"/>
    <col min="3" max="11" width="13.42578125" style="6" customWidth="1"/>
    <col min="12" max="16" width="13.42578125" style="29" customWidth="1"/>
    <col min="17" max="17" width="15.5703125" style="29"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588</v>
      </c>
      <c r="M1" s="5" t="s">
        <v>622</v>
      </c>
      <c r="N1" s="5" t="s">
        <v>629</v>
      </c>
      <c r="O1" s="5" t="s">
        <v>669</v>
      </c>
      <c r="P1" s="5" t="s">
        <v>673</v>
      </c>
      <c r="Q1" s="5" t="s">
        <v>684</v>
      </c>
    </row>
    <row r="2" spans="1:18" ht="15" customHeight="1">
      <c r="A2" s="7" t="s">
        <v>149</v>
      </c>
      <c r="B2" s="351" t="s">
        <v>150</v>
      </c>
      <c r="C2" s="345">
        <v>1559802</v>
      </c>
      <c r="D2" s="345">
        <v>1620968</v>
      </c>
      <c r="E2" s="345">
        <v>1663808</v>
      </c>
      <c r="F2" s="345">
        <v>1684729</v>
      </c>
      <c r="G2" s="345">
        <v>1688501</v>
      </c>
      <c r="H2" s="345">
        <v>1736743</v>
      </c>
      <c r="I2" s="345">
        <v>1805709</v>
      </c>
      <c r="J2" s="345">
        <v>1982843</v>
      </c>
      <c r="K2" s="345">
        <v>2081699</v>
      </c>
      <c r="L2" s="345">
        <v>2116449</v>
      </c>
      <c r="M2" s="345">
        <v>2166156</v>
      </c>
      <c r="N2" s="345">
        <v>2097532</v>
      </c>
      <c r="O2" s="345">
        <v>2050090</v>
      </c>
      <c r="P2" s="345">
        <v>1758240</v>
      </c>
      <c r="Q2" s="345">
        <v>1548842</v>
      </c>
      <c r="R2" s="265">
        <v>209398</v>
      </c>
    </row>
    <row r="3" spans="1:18" ht="28.5" customHeight="1">
      <c r="A3" s="8" t="s">
        <v>119</v>
      </c>
      <c r="B3" s="352" t="s">
        <v>123</v>
      </c>
      <c r="C3" s="346">
        <v>0</v>
      </c>
      <c r="D3" s="346">
        <v>0</v>
      </c>
      <c r="E3" s="346">
        <v>0</v>
      </c>
      <c r="F3" s="346">
        <v>0</v>
      </c>
      <c r="G3" s="346">
        <v>1487943</v>
      </c>
      <c r="H3" s="346">
        <v>1537794</v>
      </c>
      <c r="I3" s="346">
        <v>1584506</v>
      </c>
      <c r="J3" s="346">
        <v>1734889</v>
      </c>
      <c r="K3" s="346">
        <v>1821282</v>
      </c>
      <c r="L3" s="346">
        <v>1869671</v>
      </c>
      <c r="M3" s="346">
        <v>1923854</v>
      </c>
      <c r="N3" s="346">
        <v>1852731</v>
      </c>
      <c r="O3" s="346">
        <v>1816161</v>
      </c>
      <c r="P3" s="346">
        <v>1535340</v>
      </c>
      <c r="Q3" s="346">
        <v>1323301</v>
      </c>
      <c r="R3" s="265">
        <v>212039</v>
      </c>
    </row>
    <row r="4" spans="1:18" ht="28.5" customHeight="1">
      <c r="A4" s="8" t="s">
        <v>120</v>
      </c>
      <c r="B4" s="352" t="s">
        <v>124</v>
      </c>
      <c r="C4" s="346">
        <v>0</v>
      </c>
      <c r="D4" s="346">
        <v>0</v>
      </c>
      <c r="E4" s="346">
        <v>0</v>
      </c>
      <c r="F4" s="346">
        <v>0</v>
      </c>
      <c r="G4" s="346">
        <v>163239</v>
      </c>
      <c r="H4" s="346">
        <v>174832</v>
      </c>
      <c r="I4" s="346">
        <v>189226</v>
      </c>
      <c r="J4" s="346">
        <v>206081</v>
      </c>
      <c r="K4" s="346">
        <v>209674</v>
      </c>
      <c r="L4" s="346">
        <v>199210</v>
      </c>
      <c r="M4" s="346">
        <v>209193</v>
      </c>
      <c r="N4" s="346">
        <v>215747</v>
      </c>
      <c r="O4" s="346">
        <v>206593</v>
      </c>
      <c r="P4" s="346">
        <v>209592</v>
      </c>
      <c r="Q4" s="346">
        <v>219908</v>
      </c>
      <c r="R4" s="265">
        <v>-10316</v>
      </c>
    </row>
    <row r="5" spans="1:18" ht="28.5" customHeight="1">
      <c r="A5" s="8" t="s">
        <v>121</v>
      </c>
      <c r="B5" s="352" t="s">
        <v>122</v>
      </c>
      <c r="C5" s="346">
        <v>0</v>
      </c>
      <c r="D5" s="346">
        <v>0</v>
      </c>
      <c r="E5" s="346">
        <v>0</v>
      </c>
      <c r="F5" s="346">
        <v>0</v>
      </c>
      <c r="G5" s="346">
        <v>37319</v>
      </c>
      <c r="H5" s="346">
        <v>24117</v>
      </c>
      <c r="I5" s="346">
        <v>31977</v>
      </c>
      <c r="J5" s="346">
        <v>41873</v>
      </c>
      <c r="K5" s="346">
        <v>50743</v>
      </c>
      <c r="L5" s="346">
        <v>47568</v>
      </c>
      <c r="M5" s="346">
        <v>33109</v>
      </c>
      <c r="N5" s="346">
        <v>29054</v>
      </c>
      <c r="O5" s="346">
        <v>27336</v>
      </c>
      <c r="P5" s="346">
        <v>13308</v>
      </c>
      <c r="Q5" s="346">
        <v>5633</v>
      </c>
      <c r="R5" s="265">
        <v>7675</v>
      </c>
    </row>
    <row r="6" spans="1:18" ht="15" customHeight="1">
      <c r="A6" s="10" t="s">
        <v>88</v>
      </c>
      <c r="B6" s="353" t="s">
        <v>50</v>
      </c>
      <c r="C6" s="346">
        <v>-305806</v>
      </c>
      <c r="D6" s="346">
        <v>-318481</v>
      </c>
      <c r="E6" s="346">
        <v>-322842</v>
      </c>
      <c r="F6" s="346">
        <v>-305281</v>
      </c>
      <c r="G6" s="346">
        <v>-298675</v>
      </c>
      <c r="H6" s="346">
        <v>-340536</v>
      </c>
      <c r="I6" s="346">
        <v>-383490</v>
      </c>
      <c r="J6" s="346">
        <v>-448690</v>
      </c>
      <c r="K6" s="346">
        <v>-473099</v>
      </c>
      <c r="L6" s="346">
        <v>-492917</v>
      </c>
      <c r="M6" s="346">
        <v>-465122</v>
      </c>
      <c r="N6" s="346">
        <v>-450529</v>
      </c>
      <c r="O6" s="346">
        <v>-413777</v>
      </c>
      <c r="P6" s="346">
        <v>-299805</v>
      </c>
      <c r="Q6" s="346">
        <v>-166160</v>
      </c>
      <c r="R6" s="265">
        <v>-133645</v>
      </c>
    </row>
    <row r="7" spans="1:18" ht="15" customHeight="1">
      <c r="A7" s="11" t="s">
        <v>89</v>
      </c>
      <c r="B7" s="354" t="s">
        <v>1</v>
      </c>
      <c r="C7" s="347">
        <v>1253996</v>
      </c>
      <c r="D7" s="347">
        <v>1302487</v>
      </c>
      <c r="E7" s="347">
        <v>1340966</v>
      </c>
      <c r="F7" s="347">
        <v>1379448</v>
      </c>
      <c r="G7" s="347">
        <v>1389826</v>
      </c>
      <c r="H7" s="347">
        <v>1396207</v>
      </c>
      <c r="I7" s="347">
        <v>1422219</v>
      </c>
      <c r="J7" s="347">
        <v>1534153</v>
      </c>
      <c r="K7" s="347">
        <v>1608600</v>
      </c>
      <c r="L7" s="347">
        <v>1623532</v>
      </c>
      <c r="M7" s="347">
        <v>1701034</v>
      </c>
      <c r="N7" s="347">
        <v>1647003</v>
      </c>
      <c r="O7" s="347">
        <v>1636313</v>
      </c>
      <c r="P7" s="347">
        <v>1458435</v>
      </c>
      <c r="Q7" s="347">
        <v>1382682</v>
      </c>
      <c r="R7" s="265">
        <v>75753</v>
      </c>
    </row>
    <row r="8" spans="1:18" ht="15" customHeight="1">
      <c r="A8" s="10" t="s">
        <v>90</v>
      </c>
      <c r="B8" s="353" t="s">
        <v>2</v>
      </c>
      <c r="C8" s="346">
        <v>571025</v>
      </c>
      <c r="D8" s="346">
        <v>607881</v>
      </c>
      <c r="E8" s="346">
        <v>654490</v>
      </c>
      <c r="F8" s="346">
        <v>642813</v>
      </c>
      <c r="G8" s="346">
        <v>603973</v>
      </c>
      <c r="H8" s="346">
        <v>649627</v>
      </c>
      <c r="I8" s="346">
        <v>608742</v>
      </c>
      <c r="J8" s="346">
        <v>664230</v>
      </c>
      <c r="K8" s="346">
        <v>629803</v>
      </c>
      <c r="L8" s="346">
        <v>661065</v>
      </c>
      <c r="M8" s="346">
        <v>662229</v>
      </c>
      <c r="N8" s="346">
        <v>694952</v>
      </c>
      <c r="O8" s="346">
        <v>661836</v>
      </c>
      <c r="P8" s="346">
        <v>603635</v>
      </c>
      <c r="Q8" s="346">
        <v>668754</v>
      </c>
      <c r="R8" s="265">
        <v>-65119</v>
      </c>
    </row>
    <row r="9" spans="1:18" ht="15" customHeight="1">
      <c r="A9" s="10" t="s">
        <v>91</v>
      </c>
      <c r="B9" s="353" t="s">
        <v>3</v>
      </c>
      <c r="C9" s="346">
        <v>-95832</v>
      </c>
      <c r="D9" s="346">
        <v>-112239</v>
      </c>
      <c r="E9" s="346">
        <v>-127585</v>
      </c>
      <c r="F9" s="346">
        <v>-127427</v>
      </c>
      <c r="G9" s="346">
        <v>-88859</v>
      </c>
      <c r="H9" s="346">
        <v>-119867</v>
      </c>
      <c r="I9" s="346">
        <v>-93092</v>
      </c>
      <c r="J9" s="346">
        <v>-166952</v>
      </c>
      <c r="K9" s="346">
        <v>-109741</v>
      </c>
      <c r="L9" s="346">
        <v>-138708</v>
      </c>
      <c r="M9" s="346">
        <v>-118182</v>
      </c>
      <c r="N9" s="346">
        <v>-153246</v>
      </c>
      <c r="O9" s="346">
        <v>-123592</v>
      </c>
      <c r="P9" s="346">
        <v>-111804</v>
      </c>
      <c r="Q9" s="346">
        <v>-116024</v>
      </c>
      <c r="R9" s="265">
        <v>4220</v>
      </c>
    </row>
    <row r="10" spans="1:18" ht="15" customHeight="1">
      <c r="A10" s="11" t="s">
        <v>55</v>
      </c>
      <c r="B10" s="354" t="s">
        <v>4</v>
      </c>
      <c r="C10" s="347">
        <v>475193</v>
      </c>
      <c r="D10" s="347">
        <v>495642</v>
      </c>
      <c r="E10" s="347">
        <v>526905</v>
      </c>
      <c r="F10" s="347">
        <v>515386</v>
      </c>
      <c r="G10" s="347">
        <v>515114</v>
      </c>
      <c r="H10" s="347">
        <v>529760</v>
      </c>
      <c r="I10" s="347">
        <v>515650</v>
      </c>
      <c r="J10" s="347">
        <v>497278</v>
      </c>
      <c r="K10" s="347">
        <v>520062</v>
      </c>
      <c r="L10" s="347">
        <v>522357</v>
      </c>
      <c r="M10" s="347">
        <v>544047</v>
      </c>
      <c r="N10" s="347">
        <v>541706</v>
      </c>
      <c r="O10" s="347">
        <v>538244</v>
      </c>
      <c r="P10" s="347">
        <v>491831</v>
      </c>
      <c r="Q10" s="347">
        <v>552730</v>
      </c>
      <c r="R10" s="265">
        <v>-60899</v>
      </c>
    </row>
    <row r="11" spans="1:18" ht="15" customHeight="1">
      <c r="A11" s="10" t="s">
        <v>92</v>
      </c>
      <c r="B11" s="353" t="s">
        <v>5</v>
      </c>
      <c r="C11" s="346">
        <v>345</v>
      </c>
      <c r="D11" s="346">
        <v>75579</v>
      </c>
      <c r="E11" s="346">
        <v>712</v>
      </c>
      <c r="F11" s="346">
        <v>180</v>
      </c>
      <c r="G11" s="346">
        <v>185</v>
      </c>
      <c r="H11" s="346">
        <v>98323</v>
      </c>
      <c r="I11" s="346">
        <v>1353</v>
      </c>
      <c r="J11" s="346">
        <v>255</v>
      </c>
      <c r="K11" s="346">
        <v>247</v>
      </c>
      <c r="L11" s="346">
        <v>96993</v>
      </c>
      <c r="M11" s="346">
        <v>1468</v>
      </c>
      <c r="N11" s="346">
        <v>513</v>
      </c>
      <c r="O11" s="346">
        <v>349</v>
      </c>
      <c r="P11" s="346">
        <v>20322</v>
      </c>
      <c r="Q11" s="346">
        <v>1825</v>
      </c>
      <c r="R11" s="265">
        <v>18497</v>
      </c>
    </row>
    <row r="12" spans="1:18" ht="15" customHeight="1">
      <c r="A12" s="10" t="s">
        <v>93</v>
      </c>
      <c r="B12" s="353" t="s">
        <v>6</v>
      </c>
      <c r="C12" s="346">
        <v>55858</v>
      </c>
      <c r="D12" s="346">
        <v>36228</v>
      </c>
      <c r="E12" s="346">
        <v>55567</v>
      </c>
      <c r="F12" s="346">
        <v>47321</v>
      </c>
      <c r="G12" s="346">
        <v>-1083</v>
      </c>
      <c r="H12" s="346">
        <v>69249</v>
      </c>
      <c r="I12" s="346">
        <v>60451</v>
      </c>
      <c r="J12" s="346">
        <v>15922</v>
      </c>
      <c r="K12" s="346">
        <v>48432</v>
      </c>
      <c r="L12" s="346">
        <v>30201</v>
      </c>
      <c r="M12" s="346">
        <v>63780</v>
      </c>
      <c r="N12" s="346">
        <v>73136</v>
      </c>
      <c r="O12" s="346">
        <v>6303</v>
      </c>
      <c r="P12" s="346">
        <v>58612</v>
      </c>
      <c r="Q12" s="346">
        <v>28321</v>
      </c>
      <c r="R12" s="265">
        <v>30291</v>
      </c>
    </row>
    <row r="13" spans="1:18" ht="15" customHeight="1">
      <c r="A13" s="10" t="s">
        <v>94</v>
      </c>
      <c r="B13" s="353" t="s">
        <v>7</v>
      </c>
      <c r="C13" s="346">
        <v>17177</v>
      </c>
      <c r="D13" s="346">
        <v>10770</v>
      </c>
      <c r="E13" s="346">
        <v>3962</v>
      </c>
      <c r="F13" s="346">
        <v>15593</v>
      </c>
      <c r="G13" s="346">
        <v>3927</v>
      </c>
      <c r="H13" s="346">
        <v>16900</v>
      </c>
      <c r="I13" s="346">
        <v>29449</v>
      </c>
      <c r="J13" s="346">
        <v>-12796</v>
      </c>
      <c r="K13" s="346">
        <v>32855</v>
      </c>
      <c r="L13" s="346">
        <v>61896</v>
      </c>
      <c r="M13" s="346">
        <v>42341</v>
      </c>
      <c r="N13" s="346">
        <v>48383</v>
      </c>
      <c r="O13" s="346">
        <v>26486</v>
      </c>
      <c r="P13" s="346">
        <v>27056</v>
      </c>
      <c r="Q13" s="346">
        <v>128102</v>
      </c>
      <c r="R13" s="265">
        <v>-101046</v>
      </c>
    </row>
    <row r="14" spans="1:18" ht="14.45" customHeight="1">
      <c r="A14" s="10" t="s">
        <v>109</v>
      </c>
      <c r="B14" s="353" t="s">
        <v>54</v>
      </c>
      <c r="C14" s="346">
        <v>3757</v>
      </c>
      <c r="D14" s="346">
        <v>0</v>
      </c>
      <c r="E14" s="346">
        <v>0</v>
      </c>
      <c r="F14" s="346">
        <v>0</v>
      </c>
      <c r="G14" s="346">
        <v>-65</v>
      </c>
      <c r="H14" s="346">
        <v>0</v>
      </c>
      <c r="I14" s="346">
        <v>0</v>
      </c>
      <c r="J14" s="346">
        <v>0</v>
      </c>
      <c r="K14" s="346">
        <v>0</v>
      </c>
      <c r="L14" s="346">
        <v>0</v>
      </c>
      <c r="M14" s="346">
        <v>0</v>
      </c>
      <c r="N14" s="346">
        <v>0</v>
      </c>
      <c r="O14" s="346">
        <v>0</v>
      </c>
      <c r="P14" s="346">
        <v>0</v>
      </c>
      <c r="Q14" s="346">
        <v>0</v>
      </c>
      <c r="R14" s="265">
        <v>0</v>
      </c>
    </row>
    <row r="15" spans="1:18" ht="15" customHeight="1">
      <c r="A15" s="10" t="s">
        <v>95</v>
      </c>
      <c r="B15" s="353" t="s">
        <v>8</v>
      </c>
      <c r="C15" s="346">
        <v>42340</v>
      </c>
      <c r="D15" s="346">
        <v>32204</v>
      </c>
      <c r="E15" s="346">
        <v>23671</v>
      </c>
      <c r="F15" s="346">
        <v>52372</v>
      </c>
      <c r="G15" s="346">
        <v>77448</v>
      </c>
      <c r="H15" s="346">
        <v>76421</v>
      </c>
      <c r="I15" s="346">
        <v>25814</v>
      </c>
      <c r="J15" s="346">
        <v>34159</v>
      </c>
      <c r="K15" s="346">
        <v>32270</v>
      </c>
      <c r="L15" s="346">
        <v>50602</v>
      </c>
      <c r="M15" s="346">
        <v>100791</v>
      </c>
      <c r="N15" s="346">
        <v>69832</v>
      </c>
      <c r="O15" s="346">
        <v>40816</v>
      </c>
      <c r="P15" s="346">
        <v>25724</v>
      </c>
      <c r="Q15" s="346">
        <v>40773</v>
      </c>
      <c r="R15" s="265">
        <v>-15049</v>
      </c>
    </row>
    <row r="16" spans="1:18" ht="15" customHeight="1">
      <c r="A16" s="10" t="s">
        <v>153</v>
      </c>
      <c r="B16" s="353" t="s">
        <v>154</v>
      </c>
      <c r="C16" s="346"/>
      <c r="D16" s="346"/>
      <c r="E16" s="346"/>
      <c r="F16" s="346"/>
      <c r="G16" s="346">
        <v>0</v>
      </c>
      <c r="H16" s="346">
        <v>0</v>
      </c>
      <c r="I16" s="346">
        <v>0</v>
      </c>
      <c r="J16" s="346">
        <v>419295</v>
      </c>
      <c r="K16" s="346">
        <v>0</v>
      </c>
      <c r="L16" s="346">
        <v>0</v>
      </c>
      <c r="M16" s="346">
        <v>0</v>
      </c>
      <c r="N16" s="346">
        <v>0</v>
      </c>
      <c r="O16" s="346">
        <v>0</v>
      </c>
      <c r="P16" s="346">
        <v>0</v>
      </c>
      <c r="Q16" s="346">
        <v>0</v>
      </c>
      <c r="R16" s="265">
        <v>0</v>
      </c>
    </row>
    <row r="17" spans="1:27" ht="15" customHeight="1">
      <c r="A17" s="10" t="s">
        <v>139</v>
      </c>
      <c r="B17" s="353" t="s">
        <v>9</v>
      </c>
      <c r="C17" s="346">
        <v>-145512</v>
      </c>
      <c r="D17" s="346">
        <v>-100366</v>
      </c>
      <c r="E17" s="346">
        <v>-231653</v>
      </c>
      <c r="F17" s="346">
        <v>-212942</v>
      </c>
      <c r="G17" s="346">
        <v>-203364</v>
      </c>
      <c r="H17" s="346">
        <v>-257876</v>
      </c>
      <c r="I17" s="346">
        <v>-253665</v>
      </c>
      <c r="J17" s="346">
        <v>-370163</v>
      </c>
      <c r="K17" s="346">
        <v>-262688</v>
      </c>
      <c r="L17" s="346">
        <v>-356558</v>
      </c>
      <c r="M17" s="346">
        <v>-336556</v>
      </c>
      <c r="N17" s="346">
        <v>-263551</v>
      </c>
      <c r="O17" s="346">
        <v>-466300</v>
      </c>
      <c r="P17" s="346">
        <v>-480919</v>
      </c>
      <c r="Q17" s="346">
        <v>-358898</v>
      </c>
      <c r="R17" s="265">
        <v>-122021</v>
      </c>
    </row>
    <row r="18" spans="1:27" ht="15" customHeight="1">
      <c r="A18" s="10" t="s">
        <v>314</v>
      </c>
      <c r="B18" s="353" t="s">
        <v>10</v>
      </c>
      <c r="C18" s="346">
        <v>-865972</v>
      </c>
      <c r="D18" s="346">
        <v>-828582</v>
      </c>
      <c r="E18" s="346">
        <v>-807694</v>
      </c>
      <c r="F18" s="346">
        <v>-870166</v>
      </c>
      <c r="G18" s="346">
        <v>-971151</v>
      </c>
      <c r="H18" s="346">
        <v>-915827</v>
      </c>
      <c r="I18" s="346">
        <v>-916628</v>
      </c>
      <c r="J18" s="346">
        <v>-965363</v>
      </c>
      <c r="K18" s="346">
        <v>-1236233</v>
      </c>
      <c r="L18" s="346">
        <v>-1016451</v>
      </c>
      <c r="M18" s="346">
        <v>-982177</v>
      </c>
      <c r="N18" s="346">
        <v>-1231429</v>
      </c>
      <c r="O18" s="346">
        <v>-1265327</v>
      </c>
      <c r="P18" s="346">
        <v>-963782</v>
      </c>
      <c r="Q18" s="346">
        <v>-929893</v>
      </c>
      <c r="R18" s="265">
        <v>-33889</v>
      </c>
    </row>
    <row r="19" spans="1:27" s="15" customFormat="1" ht="15" customHeight="1">
      <c r="A19" s="13" t="s">
        <v>140</v>
      </c>
      <c r="B19" s="355" t="s">
        <v>141</v>
      </c>
      <c r="C19" s="348">
        <v>-763710</v>
      </c>
      <c r="D19" s="348">
        <v>-734087</v>
      </c>
      <c r="E19" s="348">
        <v>-686366</v>
      </c>
      <c r="F19" s="348">
        <v>-755269</v>
      </c>
      <c r="G19" s="348">
        <v>-862454</v>
      </c>
      <c r="H19" s="348">
        <v>-751413</v>
      </c>
      <c r="I19" s="348">
        <v>-800454</v>
      </c>
      <c r="J19" s="348">
        <v>-828437</v>
      </c>
      <c r="K19" s="348">
        <v>-1056859</v>
      </c>
      <c r="L19" s="348">
        <v>-813201</v>
      </c>
      <c r="M19" s="348">
        <v>-789211</v>
      </c>
      <c r="N19" s="348">
        <v>-766961</v>
      </c>
      <c r="O19" s="348">
        <v>-1021684</v>
      </c>
      <c r="P19" s="348">
        <v>-667015</v>
      </c>
      <c r="Q19" s="348">
        <v>-729211</v>
      </c>
      <c r="R19" s="265">
        <v>62196</v>
      </c>
      <c r="S19" s="30"/>
      <c r="T19" s="30"/>
      <c r="U19" s="30"/>
      <c r="V19" s="30"/>
      <c r="W19" s="30"/>
      <c r="X19" s="30"/>
      <c r="Y19" s="30"/>
      <c r="Z19" s="30"/>
      <c r="AA19" s="30"/>
    </row>
    <row r="20" spans="1:27" s="15" customFormat="1" ht="15" customHeight="1">
      <c r="A20" s="13" t="s">
        <v>160</v>
      </c>
      <c r="B20" s="355" t="s">
        <v>11</v>
      </c>
      <c r="C20" s="348">
        <v>-74269</v>
      </c>
      <c r="D20" s="348">
        <v>-77840</v>
      </c>
      <c r="E20" s="348">
        <v>-82167</v>
      </c>
      <c r="F20" s="348">
        <v>-84657</v>
      </c>
      <c r="G20" s="348">
        <v>-82536</v>
      </c>
      <c r="H20" s="348">
        <v>-79866</v>
      </c>
      <c r="I20" s="348">
        <v>-82093</v>
      </c>
      <c r="J20" s="348">
        <v>-88975</v>
      </c>
      <c r="K20" s="348">
        <v>-99583</v>
      </c>
      <c r="L20" s="348">
        <v>-102806</v>
      </c>
      <c r="M20" s="348">
        <v>-103264</v>
      </c>
      <c r="N20" s="348">
        <v>-119571</v>
      </c>
      <c r="O20" s="348">
        <v>-99142</v>
      </c>
      <c r="P20" s="348">
        <v>-95630</v>
      </c>
      <c r="Q20" s="348">
        <v>-98185</v>
      </c>
      <c r="R20" s="265">
        <v>2555</v>
      </c>
      <c r="S20" s="30"/>
      <c r="T20" s="30"/>
      <c r="U20" s="30"/>
      <c r="V20" s="30"/>
      <c r="W20" s="30"/>
      <c r="X20" s="30"/>
      <c r="Y20" s="30"/>
      <c r="Z20" s="30"/>
      <c r="AA20" s="30"/>
    </row>
    <row r="21" spans="1:27" s="15" customFormat="1" ht="15" customHeight="1">
      <c r="A21" s="13" t="s">
        <v>161</v>
      </c>
      <c r="B21" s="355" t="s">
        <v>162</v>
      </c>
      <c r="C21" s="348"/>
      <c r="D21" s="348"/>
      <c r="E21" s="348"/>
      <c r="F21" s="348"/>
      <c r="G21" s="348">
        <v>0</v>
      </c>
      <c r="H21" s="348">
        <v>0</v>
      </c>
      <c r="I21" s="348">
        <v>0</v>
      </c>
      <c r="J21" s="348">
        <v>0</v>
      </c>
      <c r="K21" s="348">
        <v>-52998</v>
      </c>
      <c r="L21" s="348">
        <v>-54412</v>
      </c>
      <c r="M21" s="348">
        <v>-54283</v>
      </c>
      <c r="N21" s="348">
        <v>-41258</v>
      </c>
      <c r="O21" s="348">
        <v>-53160</v>
      </c>
      <c r="P21" s="348">
        <v>-51080</v>
      </c>
      <c r="Q21" s="348">
        <v>-48048</v>
      </c>
      <c r="R21" s="265">
        <v>-3032</v>
      </c>
      <c r="S21" s="30"/>
      <c r="T21" s="30"/>
      <c r="U21" s="30"/>
      <c r="V21" s="30"/>
      <c r="W21" s="30"/>
      <c r="X21" s="30"/>
      <c r="Y21" s="30"/>
      <c r="Z21" s="30"/>
      <c r="AA21" s="30"/>
    </row>
    <row r="22" spans="1:27" s="15" customFormat="1" ht="15" customHeight="1">
      <c r="A22" s="13" t="s">
        <v>60</v>
      </c>
      <c r="B22" s="355" t="s">
        <v>12</v>
      </c>
      <c r="C22" s="348">
        <v>-27993</v>
      </c>
      <c r="D22" s="348">
        <v>-16655</v>
      </c>
      <c r="E22" s="348">
        <v>-39161</v>
      </c>
      <c r="F22" s="348">
        <v>-30240</v>
      </c>
      <c r="G22" s="348">
        <v>-26161</v>
      </c>
      <c r="H22" s="348">
        <v>-84548</v>
      </c>
      <c r="I22" s="348">
        <v>-34081</v>
      </c>
      <c r="J22" s="348">
        <v>-47951</v>
      </c>
      <c r="K22" s="348">
        <v>-26793</v>
      </c>
      <c r="L22" s="348">
        <v>-46032</v>
      </c>
      <c r="M22" s="348">
        <v>-35419</v>
      </c>
      <c r="N22" s="348">
        <v>-303639</v>
      </c>
      <c r="O22" s="348">
        <v>-91341</v>
      </c>
      <c r="P22" s="348">
        <v>-150057</v>
      </c>
      <c r="Q22" s="348">
        <v>-54449</v>
      </c>
      <c r="R22" s="265">
        <v>-95608</v>
      </c>
      <c r="S22" s="30"/>
      <c r="T22" s="30"/>
      <c r="U22" s="30"/>
      <c r="V22" s="30"/>
      <c r="W22" s="30"/>
      <c r="X22" s="30"/>
      <c r="Y22" s="30"/>
      <c r="Z22" s="30"/>
      <c r="AA22" s="30"/>
    </row>
    <row r="23" spans="1:27" ht="30" customHeight="1">
      <c r="A23" s="10" t="s">
        <v>110</v>
      </c>
      <c r="B23" s="353" t="s">
        <v>51</v>
      </c>
      <c r="C23" s="346">
        <v>8655</v>
      </c>
      <c r="D23" s="346">
        <v>15157</v>
      </c>
      <c r="E23" s="346">
        <v>14734</v>
      </c>
      <c r="F23" s="346">
        <v>19718</v>
      </c>
      <c r="G23" s="346">
        <v>10998</v>
      </c>
      <c r="H23" s="346">
        <v>14504</v>
      </c>
      <c r="I23" s="346">
        <v>16752</v>
      </c>
      <c r="J23" s="346">
        <v>20413</v>
      </c>
      <c r="K23" s="346">
        <v>14338</v>
      </c>
      <c r="L23" s="346">
        <v>15945</v>
      </c>
      <c r="M23" s="346">
        <v>18641</v>
      </c>
      <c r="N23" s="346">
        <v>18268</v>
      </c>
      <c r="O23" s="346">
        <v>16699</v>
      </c>
      <c r="P23" s="346">
        <v>20140</v>
      </c>
      <c r="Q23" s="346">
        <v>31620</v>
      </c>
      <c r="R23" s="265">
        <v>-11480</v>
      </c>
    </row>
    <row r="24" spans="1:27" ht="15" customHeight="1">
      <c r="A24" s="16" t="s">
        <v>101</v>
      </c>
      <c r="B24" s="356" t="s">
        <v>102</v>
      </c>
      <c r="C24" s="349">
        <v>-106392</v>
      </c>
      <c r="D24" s="349">
        <v>-108320</v>
      </c>
      <c r="E24" s="349">
        <v>-109373</v>
      </c>
      <c r="F24" s="349">
        <v>-113471</v>
      </c>
      <c r="G24" s="349">
        <v>-113444</v>
      </c>
      <c r="H24" s="349">
        <v>-119546</v>
      </c>
      <c r="I24" s="349">
        <v>-123515</v>
      </c>
      <c r="J24" s="349">
        <v>-143255</v>
      </c>
      <c r="K24" s="349">
        <v>-153693</v>
      </c>
      <c r="L24" s="349">
        <v>-151603</v>
      </c>
      <c r="M24" s="349">
        <v>-146433</v>
      </c>
      <c r="N24" s="349">
        <v>-147305</v>
      </c>
      <c r="O24" s="349">
        <v>-148629</v>
      </c>
      <c r="P24" s="349">
        <v>-152499</v>
      </c>
      <c r="Q24" s="349">
        <v>-147835</v>
      </c>
      <c r="R24" s="265">
        <v>-4664</v>
      </c>
    </row>
    <row r="25" spans="1:27" ht="15" customHeight="1">
      <c r="A25" s="11" t="s">
        <v>96</v>
      </c>
      <c r="B25" s="354" t="s">
        <v>13</v>
      </c>
      <c r="C25" s="347">
        <v>739445</v>
      </c>
      <c r="D25" s="347">
        <v>930799</v>
      </c>
      <c r="E25" s="347">
        <v>817797</v>
      </c>
      <c r="F25" s="347">
        <v>833439</v>
      </c>
      <c r="G25" s="347">
        <v>708391</v>
      </c>
      <c r="H25" s="347">
        <v>908115</v>
      </c>
      <c r="I25" s="347">
        <v>777880</v>
      </c>
      <c r="J25" s="347">
        <v>1029898</v>
      </c>
      <c r="K25" s="347">
        <v>604190</v>
      </c>
      <c r="L25" s="347">
        <v>876914</v>
      </c>
      <c r="M25" s="347">
        <v>1006936</v>
      </c>
      <c r="N25" s="347">
        <v>756556</v>
      </c>
      <c r="O25" s="347">
        <v>384954</v>
      </c>
      <c r="P25" s="347">
        <v>504920</v>
      </c>
      <c r="Q25" s="347">
        <v>729427</v>
      </c>
      <c r="R25" s="265">
        <v>-224507</v>
      </c>
    </row>
    <row r="26" spans="1:27" ht="15" customHeight="1">
      <c r="A26" s="17" t="s">
        <v>97</v>
      </c>
      <c r="B26" s="357" t="s">
        <v>14</v>
      </c>
      <c r="C26" s="349">
        <v>-212812</v>
      </c>
      <c r="D26" s="349">
        <v>-199737</v>
      </c>
      <c r="E26" s="349">
        <v>-188610</v>
      </c>
      <c r="F26" s="349">
        <v>-215548</v>
      </c>
      <c r="G26" s="349">
        <v>-180987</v>
      </c>
      <c r="H26" s="349">
        <v>-176520</v>
      </c>
      <c r="I26" s="349">
        <v>-201320</v>
      </c>
      <c r="J26" s="349">
        <v>-168312</v>
      </c>
      <c r="K26" s="349">
        <v>-191634</v>
      </c>
      <c r="L26" s="349">
        <v>-198989</v>
      </c>
      <c r="M26" s="349">
        <v>-227709</v>
      </c>
      <c r="N26" s="349">
        <v>-182156</v>
      </c>
      <c r="O26" s="349">
        <v>-152077</v>
      </c>
      <c r="P26" s="349">
        <v>-157779</v>
      </c>
      <c r="Q26" s="349">
        <v>-189459</v>
      </c>
      <c r="R26" s="265">
        <v>31680</v>
      </c>
    </row>
    <row r="27" spans="1:27" ht="15" customHeight="1">
      <c r="A27" s="7" t="s">
        <v>98</v>
      </c>
      <c r="B27" s="351" t="s">
        <v>52</v>
      </c>
      <c r="C27" s="345">
        <v>526633</v>
      </c>
      <c r="D27" s="345">
        <v>731062</v>
      </c>
      <c r="E27" s="345">
        <v>629187</v>
      </c>
      <c r="F27" s="345">
        <v>617891</v>
      </c>
      <c r="G27" s="345">
        <v>527404</v>
      </c>
      <c r="H27" s="345">
        <v>731595</v>
      </c>
      <c r="I27" s="345">
        <v>576560</v>
      </c>
      <c r="J27" s="345">
        <v>861586</v>
      </c>
      <c r="K27" s="345">
        <v>412556</v>
      </c>
      <c r="L27" s="345">
        <v>677925</v>
      </c>
      <c r="M27" s="345">
        <v>779227</v>
      </c>
      <c r="N27" s="345">
        <v>574400</v>
      </c>
      <c r="O27" s="345">
        <v>232877</v>
      </c>
      <c r="P27" s="345">
        <v>347141</v>
      </c>
      <c r="Q27" s="345">
        <v>539968</v>
      </c>
      <c r="R27" s="265">
        <v>-192827</v>
      </c>
    </row>
    <row r="28" spans="1:27" ht="15" customHeight="1">
      <c r="A28" s="16" t="s">
        <v>99</v>
      </c>
      <c r="B28" s="356" t="s">
        <v>53</v>
      </c>
      <c r="C28" s="349"/>
      <c r="D28" s="349"/>
      <c r="E28" s="349"/>
      <c r="F28" s="349"/>
      <c r="G28" s="349"/>
      <c r="H28" s="349"/>
      <c r="I28" s="349"/>
      <c r="J28" s="349"/>
      <c r="K28" s="349"/>
      <c r="L28" s="349"/>
      <c r="M28" s="349"/>
      <c r="N28" s="349"/>
      <c r="O28" s="349"/>
      <c r="P28" s="349"/>
      <c r="Q28" s="349"/>
      <c r="R28" s="265">
        <v>0</v>
      </c>
    </row>
    <row r="29" spans="1:27" ht="15" customHeight="1">
      <c r="A29" s="10" t="s">
        <v>138</v>
      </c>
      <c r="B29" s="353" t="s">
        <v>142</v>
      </c>
      <c r="C29" s="346">
        <v>452461</v>
      </c>
      <c r="D29" s="346">
        <v>647914</v>
      </c>
      <c r="E29" s="346">
        <v>556427</v>
      </c>
      <c r="F29" s="346">
        <v>542511</v>
      </c>
      <c r="G29" s="346">
        <v>433933</v>
      </c>
      <c r="H29" s="346">
        <v>643810</v>
      </c>
      <c r="I29" s="346">
        <v>497466</v>
      </c>
      <c r="J29" s="346">
        <v>788145</v>
      </c>
      <c r="K29" s="346">
        <v>339007</v>
      </c>
      <c r="L29" s="346">
        <v>596465</v>
      </c>
      <c r="M29" s="346">
        <v>695841</v>
      </c>
      <c r="N29" s="346">
        <v>507034</v>
      </c>
      <c r="O29" s="346">
        <v>170934</v>
      </c>
      <c r="P29" s="346">
        <v>304853</v>
      </c>
      <c r="Q29" s="346">
        <v>479834</v>
      </c>
      <c r="R29" s="265">
        <v>-174981</v>
      </c>
    </row>
    <row r="30" spans="1:27" ht="15" customHeight="1">
      <c r="A30" s="18" t="s">
        <v>100</v>
      </c>
      <c r="B30" s="358" t="s">
        <v>15</v>
      </c>
      <c r="C30" s="350">
        <v>74172</v>
      </c>
      <c r="D30" s="350">
        <v>83148</v>
      </c>
      <c r="E30" s="350">
        <v>72760</v>
      </c>
      <c r="F30" s="350">
        <v>75380</v>
      </c>
      <c r="G30" s="350">
        <v>93471</v>
      </c>
      <c r="H30" s="350">
        <v>87785</v>
      </c>
      <c r="I30" s="350">
        <v>79094</v>
      </c>
      <c r="J30" s="350">
        <v>73441</v>
      </c>
      <c r="K30" s="350">
        <v>73549</v>
      </c>
      <c r="L30" s="350">
        <v>81460</v>
      </c>
      <c r="M30" s="350">
        <v>83386</v>
      </c>
      <c r="N30" s="350">
        <v>67366</v>
      </c>
      <c r="O30" s="408">
        <v>61943</v>
      </c>
      <c r="P30" s="408">
        <v>42288</v>
      </c>
      <c r="Q30" s="408">
        <v>60134</v>
      </c>
      <c r="R30" s="265">
        <v>-17846</v>
      </c>
    </row>
    <row r="31" spans="1:27" s="29" customFormat="1" ht="17.25" customHeight="1">
      <c r="M31" s="298"/>
      <c r="Q31" s="295"/>
    </row>
    <row r="32" spans="1:27">
      <c r="L32" s="6"/>
      <c r="M32" s="6"/>
      <c r="N32" s="6"/>
      <c r="O32" s="6"/>
      <c r="P32" s="6"/>
      <c r="Q32" s="6"/>
    </row>
    <row r="34" spans="6:14">
      <c r="F34" s="460"/>
      <c r="G34" s="460"/>
      <c r="H34" s="460"/>
      <c r="I34" s="460"/>
      <c r="J34" s="460"/>
      <c r="K34" s="460"/>
      <c r="L34" s="460"/>
      <c r="M34" s="460"/>
      <c r="N34" s="460"/>
    </row>
    <row r="35" spans="6:14">
      <c r="N35" s="460"/>
    </row>
  </sheetData>
  <customSheetViews>
    <customSheetView guid="{8FDDB7D7-275F-4F23-B770-BAF5AFA4F358}">
      <pane xSplit="2" ySplit="1" topLeftCell="C2" activePane="bottomRight" state="frozen"/>
      <selection pane="bottomRight" activeCell="C2" sqref="C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12F8D032-8143-430B-8DFF-852E8796C402}" topLeftCell="E1">
      <selection activeCell="Q4" sqref="Q4"/>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scale="68" topLeftCell="E1">
      <selection activeCell="T12" sqref="T12"/>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DA78CF1-615A-4626-9893-6751995631A4}" hiddenRows="1" topLeftCell="G1">
      <selection activeCell="I18" sqref="I18"/>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99D69CD-4B7E-42BC-9944-5BD922EB798C}" topLeftCell="K22">
      <selection activeCell="O17" sqref="O17"/>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9AF4A83C-CF57-4B40-8A74-6A0EA6C2FE5C}" hiddenColumns="1" topLeftCell="A7">
      <selection activeCell="B38" sqref="B38"/>
      <pageMargins left="0.78740157480314965" right="0.78740157480314965" top="0.98425196850393704" bottom="0.98425196850393704" header="0.51181102362204722" footer="0.51181102362204722"/>
      <pageSetup paperSize="9" scale="44" orientation="landscape" r:id="rId7"/>
      <headerFooter alignWithMargins="0"/>
    </customSheetView>
    <customSheetView guid="{746490BF-9C44-4B41-8803-BEC9E453576A}">
      <pane xSplit="2" ySplit="1" topLeftCell="C2" activePane="bottomRight" state="frozen"/>
      <selection pane="bottomRight" activeCell="C2" sqref="C2"/>
      <pageMargins left="0.78740157480314965" right="0.78740157480314965" top="0.98425196850393704" bottom="0.98425196850393704" header="0.51181102362204722" footer="0.51181102362204722"/>
      <pageSetup paperSize="9" scale="44" orientation="landscape" r:id="rId8"/>
      <headerFooter alignWithMargins="0"/>
    </customSheetView>
  </customSheetViews>
  <pageMargins left="0.78740157480314965" right="0.78740157480314965" top="0.98425196850393704" bottom="0.98425196850393704" header="0.51181102362204722" footer="0.51181102362204722"/>
  <pageSetup paperSize="9" scale="44" orientation="landscape"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2.75"/>
  <cols>
    <col min="1" max="1" width="33.140625" style="98" customWidth="1"/>
    <col min="2" max="2" width="36.5703125" style="98" customWidth="1"/>
    <col min="3" max="13" width="13.140625" style="98" customWidth="1"/>
    <col min="14" max="16384" width="9.140625" style="98"/>
  </cols>
  <sheetData>
    <row r="1" spans="1:13">
      <c r="A1" s="97" t="s">
        <v>315</v>
      </c>
      <c r="B1" s="97" t="s">
        <v>316</v>
      </c>
    </row>
    <row r="2" spans="1:13" ht="43.5" customHeight="1" thickBot="1">
      <c r="A2" s="99" t="s">
        <v>675</v>
      </c>
      <c r="B2" s="99" t="s">
        <v>676</v>
      </c>
      <c r="C2" s="100" t="s">
        <v>118</v>
      </c>
      <c r="D2" s="100" t="s">
        <v>136</v>
      </c>
      <c r="E2" s="100" t="s">
        <v>137</v>
      </c>
      <c r="F2" s="100" t="s">
        <v>146</v>
      </c>
      <c r="G2" s="100" t="s">
        <v>155</v>
      </c>
      <c r="H2" s="100" t="s">
        <v>588</v>
      </c>
      <c r="I2" s="100" t="s">
        <v>622</v>
      </c>
      <c r="J2" s="100" t="s">
        <v>629</v>
      </c>
      <c r="K2" s="100" t="s">
        <v>669</v>
      </c>
      <c r="L2" s="100" t="s">
        <v>673</v>
      </c>
      <c r="M2" s="100" t="s">
        <v>684</v>
      </c>
    </row>
    <row r="3" spans="1:13" ht="15" customHeight="1">
      <c r="A3" s="372" t="s">
        <v>317</v>
      </c>
      <c r="B3" s="372" t="s">
        <v>318</v>
      </c>
      <c r="C3" s="365">
        <f t="shared" ref="C3:I3" si="0">SUM(C4:C7)</f>
        <v>0</v>
      </c>
      <c r="D3" s="365">
        <f t="shared" si="0"/>
        <v>-67</v>
      </c>
      <c r="E3" s="365">
        <f t="shared" si="0"/>
        <v>-4</v>
      </c>
      <c r="F3" s="365">
        <f t="shared" si="0"/>
        <v>5</v>
      </c>
      <c r="G3" s="365">
        <f t="shared" si="0"/>
        <v>0</v>
      </c>
      <c r="H3" s="365">
        <f t="shared" si="0"/>
        <v>-2</v>
      </c>
      <c r="I3" s="365">
        <f t="shared" si="0"/>
        <v>-1</v>
      </c>
      <c r="J3" s="365">
        <f>SUM(J4:J7)</f>
        <v>-25</v>
      </c>
      <c r="K3" s="365">
        <f>SUM(K4:K7)</f>
        <v>-4</v>
      </c>
      <c r="L3" s="365">
        <f>SUM(L4:L7)</f>
        <v>-3</v>
      </c>
      <c r="M3" s="365">
        <f>SUM(M4:M7)</f>
        <v>3</v>
      </c>
    </row>
    <row r="4" spans="1:13" ht="15" customHeight="1">
      <c r="A4" s="369" t="s">
        <v>331</v>
      </c>
      <c r="B4" s="369" t="s">
        <v>325</v>
      </c>
      <c r="C4" s="366">
        <v>0</v>
      </c>
      <c r="D4" s="366">
        <v>-67</v>
      </c>
      <c r="E4" s="366">
        <v>-4</v>
      </c>
      <c r="F4" s="366">
        <v>5</v>
      </c>
      <c r="G4" s="366">
        <v>0</v>
      </c>
      <c r="H4" s="366">
        <v>-2</v>
      </c>
      <c r="I4" s="366">
        <v>-1</v>
      </c>
      <c r="J4" s="366">
        <v>-25</v>
      </c>
      <c r="K4" s="366">
        <v>-4</v>
      </c>
      <c r="L4" s="366">
        <v>-3</v>
      </c>
      <c r="M4" s="366">
        <v>3</v>
      </c>
    </row>
    <row r="5" spans="1:13" ht="15" customHeight="1">
      <c r="A5" s="369" t="s">
        <v>332</v>
      </c>
      <c r="B5" s="369" t="s">
        <v>326</v>
      </c>
      <c r="C5" s="366">
        <v>0</v>
      </c>
      <c r="D5" s="366">
        <v>0</v>
      </c>
      <c r="E5" s="366">
        <v>0</v>
      </c>
      <c r="F5" s="366">
        <v>0</v>
      </c>
      <c r="G5" s="366">
        <v>0</v>
      </c>
      <c r="H5" s="366">
        <v>0</v>
      </c>
      <c r="I5" s="366">
        <v>0</v>
      </c>
      <c r="J5" s="366">
        <v>0</v>
      </c>
      <c r="K5" s="366">
        <v>0</v>
      </c>
      <c r="L5" s="366">
        <v>0</v>
      </c>
      <c r="M5" s="366">
        <v>0</v>
      </c>
    </row>
    <row r="6" spans="1:13" ht="15" customHeight="1">
      <c r="A6" s="369" t="s">
        <v>333</v>
      </c>
      <c r="B6" s="369" t="s">
        <v>327</v>
      </c>
      <c r="C6" s="366">
        <v>0</v>
      </c>
      <c r="D6" s="366">
        <v>0</v>
      </c>
      <c r="E6" s="366">
        <v>0</v>
      </c>
      <c r="F6" s="366">
        <v>0</v>
      </c>
      <c r="G6" s="366">
        <v>0</v>
      </c>
      <c r="H6" s="366">
        <v>0</v>
      </c>
      <c r="I6" s="366">
        <v>0</v>
      </c>
      <c r="J6" s="366">
        <v>0</v>
      </c>
      <c r="K6" s="366">
        <v>0</v>
      </c>
      <c r="L6" s="366">
        <v>0</v>
      </c>
      <c r="M6" s="366">
        <v>0</v>
      </c>
    </row>
    <row r="7" spans="1:13" ht="15" customHeight="1">
      <c r="A7" s="369" t="s">
        <v>328</v>
      </c>
      <c r="B7" s="369" t="s">
        <v>328</v>
      </c>
      <c r="C7" s="366">
        <v>0</v>
      </c>
      <c r="D7" s="366">
        <v>0</v>
      </c>
      <c r="E7" s="366">
        <v>0</v>
      </c>
      <c r="F7" s="366">
        <v>0</v>
      </c>
      <c r="G7" s="366">
        <v>0</v>
      </c>
      <c r="H7" s="366">
        <v>0</v>
      </c>
      <c r="I7" s="366">
        <v>0</v>
      </c>
      <c r="J7" s="366">
        <v>0</v>
      </c>
      <c r="K7" s="366">
        <v>0</v>
      </c>
      <c r="L7" s="366">
        <v>0</v>
      </c>
      <c r="M7" s="366">
        <v>0</v>
      </c>
    </row>
    <row r="8" spans="1:13" ht="15" customHeight="1">
      <c r="A8" s="372" t="s">
        <v>319</v>
      </c>
      <c r="B8" s="372" t="s">
        <v>322</v>
      </c>
      <c r="C8" s="365">
        <f t="shared" ref="C8:I8" si="1">SUM(C9:C12)</f>
        <v>-218758</v>
      </c>
      <c r="D8" s="365">
        <f t="shared" si="1"/>
        <v>-260620</v>
      </c>
      <c r="E8" s="365">
        <f t="shared" si="1"/>
        <v>-244398</v>
      </c>
      <c r="F8" s="365">
        <f t="shared" si="1"/>
        <v>-365996</v>
      </c>
      <c r="G8" s="365">
        <f t="shared" si="1"/>
        <v>-280118</v>
      </c>
      <c r="H8" s="365">
        <f t="shared" si="1"/>
        <v>-366957</v>
      </c>
      <c r="I8" s="365">
        <f t="shared" si="1"/>
        <v>-323350</v>
      </c>
      <c r="J8" s="365">
        <f>SUM(J9:J12)</f>
        <v>-258576</v>
      </c>
      <c r="K8" s="365">
        <f>SUM(K9:K12)</f>
        <v>-489635</v>
      </c>
      <c r="L8" s="365">
        <f>SUM(L9:L12)</f>
        <v>-470681</v>
      </c>
      <c r="M8" s="365">
        <f>SUM(M9:M12)</f>
        <v>-350509</v>
      </c>
    </row>
    <row r="9" spans="1:13" s="105" customFormat="1" ht="15" customHeight="1">
      <c r="A9" s="369" t="s">
        <v>331</v>
      </c>
      <c r="B9" s="369" t="s">
        <v>325</v>
      </c>
      <c r="C9" s="366">
        <v>-18993</v>
      </c>
      <c r="D9" s="366">
        <v>-24151</v>
      </c>
      <c r="E9" s="366">
        <v>-38221</v>
      </c>
      <c r="F9" s="366">
        <v>-136336</v>
      </c>
      <c r="G9" s="366">
        <v>-16561</v>
      </c>
      <c r="H9" s="366">
        <v>-30145</v>
      </c>
      <c r="I9" s="366">
        <v>-44965</v>
      </c>
      <c r="J9" s="366">
        <v>-1695</v>
      </c>
      <c r="K9" s="366">
        <v>-12044</v>
      </c>
      <c r="L9" s="366">
        <v>-43979</v>
      </c>
      <c r="M9" s="366">
        <v>513</v>
      </c>
    </row>
    <row r="10" spans="1:13" s="105" customFormat="1" ht="15" customHeight="1">
      <c r="A10" s="369" t="s">
        <v>332</v>
      </c>
      <c r="B10" s="369" t="s">
        <v>326</v>
      </c>
      <c r="C10" s="366">
        <v>-60657</v>
      </c>
      <c r="D10" s="366">
        <v>-77190</v>
      </c>
      <c r="E10" s="366">
        <v>-91894</v>
      </c>
      <c r="F10" s="366">
        <v>-77906</v>
      </c>
      <c r="G10" s="366">
        <v>-47557</v>
      </c>
      <c r="H10" s="366">
        <v>-199036</v>
      </c>
      <c r="I10" s="366">
        <v>-125026</v>
      </c>
      <c r="J10" s="366">
        <v>-64382</v>
      </c>
      <c r="K10" s="366">
        <v>-260944</v>
      </c>
      <c r="L10" s="366">
        <v>-203816</v>
      </c>
      <c r="M10" s="366">
        <v>-97955</v>
      </c>
    </row>
    <row r="11" spans="1:13" s="105" customFormat="1" ht="15" customHeight="1">
      <c r="A11" s="369" t="s">
        <v>333</v>
      </c>
      <c r="B11" s="369" t="s">
        <v>327</v>
      </c>
      <c r="C11" s="366">
        <v>-148670</v>
      </c>
      <c r="D11" s="366">
        <v>-168756</v>
      </c>
      <c r="E11" s="366">
        <v>-161983</v>
      </c>
      <c r="F11" s="366">
        <f>-145686+1</f>
        <v>-145685</v>
      </c>
      <c r="G11" s="366">
        <v>-244530</v>
      </c>
      <c r="H11" s="366">
        <v>-148221</v>
      </c>
      <c r="I11" s="366">
        <v>-174146</v>
      </c>
      <c r="J11" s="366">
        <v>-205934</v>
      </c>
      <c r="K11" s="366">
        <v>-218512</v>
      </c>
      <c r="L11" s="366">
        <v>-226088</v>
      </c>
      <c r="M11" s="366">
        <v>-256963</v>
      </c>
    </row>
    <row r="12" spans="1:13" s="105" customFormat="1" ht="15" customHeight="1">
      <c r="A12" s="369" t="s">
        <v>328</v>
      </c>
      <c r="B12" s="369" t="s">
        <v>328</v>
      </c>
      <c r="C12" s="366">
        <v>9562</v>
      </c>
      <c r="D12" s="366">
        <v>9477</v>
      </c>
      <c r="E12" s="366">
        <v>47700</v>
      </c>
      <c r="F12" s="366">
        <v>-6069</v>
      </c>
      <c r="G12" s="366">
        <v>28530</v>
      </c>
      <c r="H12" s="366">
        <v>10445</v>
      </c>
      <c r="I12" s="366">
        <v>20787</v>
      </c>
      <c r="J12" s="366">
        <v>13435</v>
      </c>
      <c r="K12" s="366">
        <v>1865</v>
      </c>
      <c r="L12" s="366">
        <v>3202</v>
      </c>
      <c r="M12" s="366">
        <v>3896</v>
      </c>
    </row>
    <row r="13" spans="1:13" ht="15" customHeight="1">
      <c r="A13" s="372" t="s">
        <v>320</v>
      </c>
      <c r="B13" s="372" t="s">
        <v>323</v>
      </c>
      <c r="C13" s="365">
        <f t="shared" ref="C13:I13" si="2">SUM(C14:C17)</f>
        <v>17680</v>
      </c>
      <c r="D13" s="365">
        <f t="shared" si="2"/>
        <v>-1272</v>
      </c>
      <c r="E13" s="365">
        <f t="shared" si="2"/>
        <v>-7722</v>
      </c>
      <c r="F13" s="365">
        <f t="shared" si="2"/>
        <v>3203</v>
      </c>
      <c r="G13" s="365">
        <f t="shared" si="2"/>
        <v>7442</v>
      </c>
      <c r="H13" s="365">
        <f t="shared" si="2"/>
        <v>-5847</v>
      </c>
      <c r="I13" s="365">
        <f t="shared" si="2"/>
        <v>-12115</v>
      </c>
      <c r="J13" s="365">
        <f>SUM(J14:J17)</f>
        <v>5347</v>
      </c>
      <c r="K13" s="365">
        <f>SUM(K14:K17)</f>
        <v>18572</v>
      </c>
      <c r="L13" s="365">
        <f>SUM(L14:L17)</f>
        <v>-11486</v>
      </c>
      <c r="M13" s="365">
        <f>SUM(M14:M17)</f>
        <v>-9680</v>
      </c>
    </row>
    <row r="14" spans="1:13" s="105" customFormat="1" ht="15" customHeight="1">
      <c r="A14" s="369" t="s">
        <v>331</v>
      </c>
      <c r="B14" s="369" t="s">
        <v>325</v>
      </c>
      <c r="C14" s="366">
        <v>0</v>
      </c>
      <c r="D14" s="366">
        <v>0</v>
      </c>
      <c r="E14" s="366">
        <v>0</v>
      </c>
      <c r="F14" s="366">
        <v>0</v>
      </c>
      <c r="G14" s="366">
        <v>0</v>
      </c>
      <c r="H14" s="366">
        <v>0</v>
      </c>
      <c r="I14" s="366">
        <v>0</v>
      </c>
      <c r="J14" s="366">
        <v>0</v>
      </c>
      <c r="K14" s="366">
        <v>0</v>
      </c>
      <c r="L14" s="366">
        <v>0</v>
      </c>
      <c r="M14" s="366">
        <v>0</v>
      </c>
    </row>
    <row r="15" spans="1:13" s="105" customFormat="1" ht="15" customHeight="1">
      <c r="A15" s="369" t="s">
        <v>332</v>
      </c>
      <c r="B15" s="369" t="s">
        <v>326</v>
      </c>
      <c r="C15" s="366">
        <v>0</v>
      </c>
      <c r="D15" s="366">
        <v>0</v>
      </c>
      <c r="E15" s="366">
        <v>0</v>
      </c>
      <c r="F15" s="366">
        <v>0</v>
      </c>
      <c r="G15" s="366">
        <v>0</v>
      </c>
      <c r="H15" s="366">
        <v>0</v>
      </c>
      <c r="I15" s="366">
        <v>0</v>
      </c>
      <c r="J15" s="366">
        <v>0</v>
      </c>
      <c r="K15" s="366">
        <v>0</v>
      </c>
      <c r="L15" s="366">
        <v>0</v>
      </c>
      <c r="M15" s="366">
        <v>0</v>
      </c>
    </row>
    <row r="16" spans="1:13" s="105" customFormat="1" ht="15" customHeight="1">
      <c r="A16" s="369" t="s">
        <v>333</v>
      </c>
      <c r="B16" s="369" t="s">
        <v>327</v>
      </c>
      <c r="C16" s="366">
        <v>17680</v>
      </c>
      <c r="D16" s="366">
        <v>-1272</v>
      </c>
      <c r="E16" s="366">
        <v>-7722</v>
      </c>
      <c r="F16" s="366">
        <v>3203</v>
      </c>
      <c r="G16" s="366">
        <v>7442</v>
      </c>
      <c r="H16" s="366">
        <v>-5847</v>
      </c>
      <c r="I16" s="366">
        <v>-12115</v>
      </c>
      <c r="J16" s="366">
        <v>5347</v>
      </c>
      <c r="K16" s="366">
        <v>18572</v>
      </c>
      <c r="L16" s="366">
        <v>-11486</v>
      </c>
      <c r="M16" s="366">
        <v>-9680</v>
      </c>
    </row>
    <row r="17" spans="1:13" s="105" customFormat="1" ht="15" customHeight="1">
      <c r="A17" s="369" t="s">
        <v>328</v>
      </c>
      <c r="B17" s="369" t="s">
        <v>328</v>
      </c>
      <c r="C17" s="366">
        <v>0</v>
      </c>
      <c r="D17" s="366">
        <v>0</v>
      </c>
      <c r="E17" s="366">
        <v>0</v>
      </c>
      <c r="F17" s="366">
        <v>0</v>
      </c>
      <c r="G17" s="366">
        <v>0</v>
      </c>
      <c r="H17" s="366">
        <v>0</v>
      </c>
      <c r="I17" s="366">
        <v>0</v>
      </c>
      <c r="J17" s="366">
        <v>0</v>
      </c>
      <c r="K17" s="366">
        <v>0</v>
      </c>
      <c r="L17" s="366">
        <v>0</v>
      </c>
      <c r="M17" s="366">
        <v>0</v>
      </c>
    </row>
    <row r="18" spans="1:13" ht="15" customHeight="1">
      <c r="A18" s="373" t="s">
        <v>321</v>
      </c>
      <c r="B18" s="372" t="s">
        <v>324</v>
      </c>
      <c r="C18" s="365">
        <f t="shared" ref="C18:I18" si="3">SUM(C19:C22)</f>
        <v>-2286</v>
      </c>
      <c r="D18" s="365">
        <f t="shared" si="3"/>
        <v>4083</v>
      </c>
      <c r="E18" s="365">
        <f t="shared" si="3"/>
        <v>-1541</v>
      </c>
      <c r="F18" s="365">
        <f t="shared" si="3"/>
        <v>-7375</v>
      </c>
      <c r="G18" s="365">
        <f t="shared" si="3"/>
        <v>9988</v>
      </c>
      <c r="H18" s="365">
        <f t="shared" si="3"/>
        <v>16248</v>
      </c>
      <c r="I18" s="365">
        <f t="shared" si="3"/>
        <v>-1090</v>
      </c>
      <c r="J18" s="365">
        <f>SUM(J19:J22)</f>
        <v>-10297</v>
      </c>
      <c r="K18" s="365">
        <f>SUM(K19:K22)</f>
        <v>4767</v>
      </c>
      <c r="L18" s="365">
        <f>SUM(L19:L22)</f>
        <v>1251</v>
      </c>
      <c r="M18" s="365">
        <f>SUM(M19:M22)</f>
        <v>1288</v>
      </c>
    </row>
    <row r="19" spans="1:13" s="105" customFormat="1" ht="15" customHeight="1">
      <c r="A19" s="369" t="s">
        <v>331</v>
      </c>
      <c r="B19" s="369" t="s">
        <v>325</v>
      </c>
      <c r="C19" s="366">
        <v>-2540</v>
      </c>
      <c r="D19" s="366">
        <v>1976</v>
      </c>
      <c r="E19" s="366">
        <v>1293</v>
      </c>
      <c r="F19" s="366">
        <v>-5753</v>
      </c>
      <c r="G19" s="366">
        <v>2495</v>
      </c>
      <c r="H19" s="366">
        <v>13299</v>
      </c>
      <c r="I19" s="366">
        <v>1365</v>
      </c>
      <c r="J19" s="366">
        <v>-2513</v>
      </c>
      <c r="K19" s="366">
        <v>8017</v>
      </c>
      <c r="L19" s="366">
        <v>-4388</v>
      </c>
      <c r="M19" s="366">
        <v>1227</v>
      </c>
    </row>
    <row r="20" spans="1:13" s="105" customFormat="1" ht="15" customHeight="1">
      <c r="A20" s="369" t="s">
        <v>332</v>
      </c>
      <c r="B20" s="369" t="s">
        <v>326</v>
      </c>
      <c r="C20" s="366">
        <v>2111</v>
      </c>
      <c r="D20" s="366">
        <v>3344</v>
      </c>
      <c r="E20" s="366">
        <v>1988</v>
      </c>
      <c r="F20" s="366">
        <v>-2958</v>
      </c>
      <c r="G20" s="366">
        <v>2942</v>
      </c>
      <c r="H20" s="366">
        <v>388</v>
      </c>
      <c r="I20" s="366">
        <v>-670</v>
      </c>
      <c r="J20" s="366">
        <v>164</v>
      </c>
      <c r="K20" s="366">
        <v>1127</v>
      </c>
      <c r="L20" s="366">
        <v>-4865</v>
      </c>
      <c r="M20" s="366">
        <v>1522</v>
      </c>
    </row>
    <row r="21" spans="1:13" s="105" customFormat="1" ht="15" customHeight="1">
      <c r="A21" s="369" t="s">
        <v>333</v>
      </c>
      <c r="B21" s="369" t="s">
        <v>327</v>
      </c>
      <c r="C21" s="366">
        <v>-1857</v>
      </c>
      <c r="D21" s="366">
        <v>-1237</v>
      </c>
      <c r="E21" s="366">
        <v>-4822</v>
      </c>
      <c r="F21" s="366">
        <v>1336</v>
      </c>
      <c r="G21" s="366">
        <v>4551</v>
      </c>
      <c r="H21" s="366">
        <v>2561</v>
      </c>
      <c r="I21" s="366">
        <v>-1785</v>
      </c>
      <c r="J21" s="366">
        <v>-7948</v>
      </c>
      <c r="K21" s="366">
        <v>-4377</v>
      </c>
      <c r="L21" s="366">
        <v>10504</v>
      </c>
      <c r="M21" s="366">
        <v>-1461</v>
      </c>
    </row>
    <row r="22" spans="1:13" s="105" customFormat="1" ht="15" customHeight="1">
      <c r="A22" s="370" t="s">
        <v>328</v>
      </c>
      <c r="B22" s="370" t="s">
        <v>328</v>
      </c>
      <c r="C22" s="367">
        <v>0</v>
      </c>
      <c r="D22" s="367">
        <v>0</v>
      </c>
      <c r="E22" s="366">
        <v>0</v>
      </c>
      <c r="F22" s="366">
        <v>0</v>
      </c>
      <c r="G22" s="367">
        <v>0</v>
      </c>
      <c r="H22" s="367">
        <v>0</v>
      </c>
      <c r="I22" s="367">
        <v>0</v>
      </c>
      <c r="J22" s="366">
        <v>0</v>
      </c>
      <c r="K22" s="366">
        <v>0</v>
      </c>
      <c r="L22" s="366">
        <v>0</v>
      </c>
      <c r="M22" s="366">
        <v>0</v>
      </c>
    </row>
    <row r="23" spans="1:13" s="111" customFormat="1" ht="15" customHeight="1">
      <c r="A23" s="371" t="s">
        <v>58</v>
      </c>
      <c r="B23" s="371" t="s">
        <v>43</v>
      </c>
      <c r="C23" s="368">
        <f t="shared" ref="C23:K23" si="4">SUM(C3,C8,C13,C18)</f>
        <v>-203364</v>
      </c>
      <c r="D23" s="368">
        <f t="shared" si="4"/>
        <v>-257876</v>
      </c>
      <c r="E23" s="368">
        <f t="shared" si="4"/>
        <v>-253665</v>
      </c>
      <c r="F23" s="368">
        <f t="shared" si="4"/>
        <v>-370163</v>
      </c>
      <c r="G23" s="368">
        <f t="shared" si="4"/>
        <v>-262688</v>
      </c>
      <c r="H23" s="368">
        <f t="shared" si="4"/>
        <v>-356558</v>
      </c>
      <c r="I23" s="368">
        <f t="shared" si="4"/>
        <v>-336556</v>
      </c>
      <c r="J23" s="368">
        <f t="shared" si="4"/>
        <v>-263551</v>
      </c>
      <c r="K23" s="368">
        <f t="shared" si="4"/>
        <v>-466300</v>
      </c>
      <c r="L23" s="368">
        <f t="shared" ref="L23:M23" si="5">SUM(L3,L8,L13,L18)</f>
        <v>-480919</v>
      </c>
      <c r="M23" s="368">
        <f t="shared" si="5"/>
        <v>-358898</v>
      </c>
    </row>
    <row r="24" spans="1:13" s="294" customFormat="1">
      <c r="C24" s="291">
        <f>'P&amp;L'!G17-C23</f>
        <v>0</v>
      </c>
      <c r="D24" s="291">
        <f>'P&amp;L'!H17-D23</f>
        <v>0</v>
      </c>
      <c r="E24" s="291">
        <f>'P&amp;L'!I17-E23</f>
        <v>0</v>
      </c>
      <c r="F24" s="291"/>
      <c r="G24" s="291">
        <f>'P&amp;L'!K17-G23</f>
        <v>0</v>
      </c>
      <c r="H24" s="291">
        <f>'P&amp;L'!L17-H23</f>
        <v>0</v>
      </c>
      <c r="I24" s="291">
        <f>'P&amp;L'!M17-I23</f>
        <v>0</v>
      </c>
      <c r="J24" s="291">
        <f>'P&amp;L'!N17-J23</f>
        <v>0</v>
      </c>
      <c r="K24" s="291">
        <f>'P&amp;L'!O17-K23</f>
        <v>0</v>
      </c>
      <c r="L24" s="291">
        <f>'P&amp;L'!P17-L23</f>
        <v>0</v>
      </c>
      <c r="M24" s="291"/>
    </row>
  </sheetData>
  <customSheetViews>
    <customSheetView guid="{8FDDB7D7-275F-4F23-B770-BAF5AFA4F358}">
      <pane xSplit="2" ySplit="2" topLeftCell="C3" activePane="bottomRight" state="frozen"/>
      <selection pane="bottomRight" activeCell="C3" sqref="C3"/>
      <pageMargins left="0.7" right="0.7" top="0.75" bottom="0.75" header="0.3" footer="0.3"/>
    </customSheetView>
    <customSheetView guid="{12F8D032-8143-430B-8DFF-852E8796C402}">
      <selection activeCell="H24" sqref="H24"/>
      <pageMargins left="0.7" right="0.7" top="0.75" bottom="0.75" header="0.3" footer="0.3"/>
    </customSheetView>
    <customSheetView guid="{687A4863-1825-4D63-B732-E76682E6DE4F}">
      <selection activeCell="H24" sqref="H24"/>
      <pageMargins left="0.7" right="0.7" top="0.75" bottom="0.75" header="0.3" footer="0.3"/>
    </customSheetView>
    <customSheetView guid="{57267270-6A97-4850-9DB6-FE6B399379AA}">
      <selection activeCell="D10" sqref="D10"/>
      <pageMargins left="0.7" right="0.7" top="0.75" bottom="0.75" header="0.3" footer="0.3"/>
    </customSheetView>
    <customSheetView guid="{8DA78CF1-615A-4626-9893-6751995631A4}" topLeftCell="B1">
      <selection activeCell="M9" sqref="M9"/>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899D69CD-4B7E-42BC-9944-5BD922EB798C}" topLeftCell="C7">
      <selection activeCell="M9" sqref="M9"/>
      <pageMargins left="0.7" right="0.7" top="0.75" bottom="0.75" header="0.3" footer="0.3"/>
      <pageSetup paperSize="9" orientation="portrait" horizontalDpi="1200" verticalDpi="1200" r:id="rId3"/>
    </customSheetView>
    <customSheetView guid="{9AF4A83C-CF57-4B40-8A74-6A0EA6C2FE5C}">
      <selection activeCell="G27" sqref="G27"/>
      <pageMargins left="0.7" right="0.7" top="0.75" bottom="0.75" header="0.3" footer="0.3"/>
    </customSheetView>
    <customSheetView guid="{746490BF-9C44-4B41-8803-BEC9E453576A}">
      <pane xSplit="2" ySplit="2" topLeftCell="C3" activePane="bottomRight" state="frozen"/>
      <selection pane="bottomRight" activeCell="C3" sqref="C3"/>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5"/>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2" width="50.85546875" customWidth="1"/>
    <col min="3" max="10" width="13.42578125" customWidth="1"/>
    <col min="11" max="11" width="13.42578125" style="193" customWidth="1"/>
    <col min="12" max="13" width="13.42578125" customWidth="1"/>
    <col min="14" max="17" width="13.42578125" style="193" customWidth="1"/>
  </cols>
  <sheetData>
    <row r="2" spans="1:17"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c r="Q2" s="199">
        <v>44104</v>
      </c>
    </row>
    <row r="3" spans="1:17" s="2" customFormat="1" ht="15" customHeight="1">
      <c r="A3" s="47" t="s">
        <v>290</v>
      </c>
      <c r="B3" s="47" t="s">
        <v>180</v>
      </c>
      <c r="C3" s="203">
        <f t="shared" ref="C3:K3" si="0">SUM(C4:C6)</f>
        <v>64290407</v>
      </c>
      <c r="D3" s="203">
        <f t="shared" si="0"/>
        <v>64704439</v>
      </c>
      <c r="E3" s="203">
        <f t="shared" si="0"/>
        <v>64467644</v>
      </c>
      <c r="F3" s="203">
        <f t="shared" si="0"/>
        <v>64987719</v>
      </c>
      <c r="G3" s="203">
        <f t="shared" si="0"/>
        <v>66073674</v>
      </c>
      <c r="H3" s="203">
        <f t="shared" si="0"/>
        <v>70021925</v>
      </c>
      <c r="I3" s="203">
        <f t="shared" si="0"/>
        <v>72689830</v>
      </c>
      <c r="J3" s="203">
        <f t="shared" si="0"/>
        <v>88211366</v>
      </c>
      <c r="K3" s="204">
        <f t="shared" si="0"/>
        <v>89183307</v>
      </c>
      <c r="L3" s="204">
        <f>SUM(L4:L6)</f>
        <v>90496886</v>
      </c>
      <c r="M3" s="204">
        <f>SUM(M4:M6)</f>
        <v>90362151</v>
      </c>
      <c r="N3" s="204">
        <f>N4+N5+N6</f>
        <v>91716261</v>
      </c>
      <c r="O3" s="204">
        <f t="shared" ref="O3:Q3" si="1">O4+O5+O6</f>
        <v>95861240</v>
      </c>
      <c r="P3" s="204">
        <f t="shared" si="1"/>
        <v>96477026</v>
      </c>
      <c r="Q3" s="204">
        <f t="shared" si="1"/>
        <v>96204771</v>
      </c>
    </row>
    <row r="4" spans="1:17" ht="15" customHeight="1">
      <c r="A4" s="66" t="s">
        <v>291</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c r="Q4" s="201">
        <v>21218059</v>
      </c>
    </row>
    <row r="5" spans="1:17" ht="15" customHeight="1">
      <c r="A5" s="66" t="s">
        <v>292</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c r="Q5" s="201">
        <v>74734896</v>
      </c>
    </row>
    <row r="6" spans="1:17" ht="15" customHeight="1">
      <c r="A6" s="66" t="s">
        <v>242</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c r="Q6" s="201">
        <v>251816</v>
      </c>
    </row>
    <row r="7" spans="1:17" ht="15" customHeight="1">
      <c r="A7" s="65" t="s">
        <v>293</v>
      </c>
      <c r="B7" s="65" t="s">
        <v>185</v>
      </c>
      <c r="C7" s="69">
        <f t="shared" ref="C7:M7" si="2">C8+C9+C10+C11+C12</f>
        <v>40057684</v>
      </c>
      <c r="D7" s="69">
        <f t="shared" si="2"/>
        <v>39623549</v>
      </c>
      <c r="E7" s="69">
        <f t="shared" si="2"/>
        <v>41377787</v>
      </c>
      <c r="F7" s="69">
        <f t="shared" si="2"/>
        <v>42170092</v>
      </c>
      <c r="G7" s="69">
        <f t="shared" si="2"/>
        <v>42883938</v>
      </c>
      <c r="H7" s="69">
        <f t="shared" si="2"/>
        <v>46928557</v>
      </c>
      <c r="I7" s="69">
        <f t="shared" si="2"/>
        <v>47487051</v>
      </c>
      <c r="J7" s="69">
        <f t="shared" si="2"/>
        <v>57493542</v>
      </c>
      <c r="K7" s="200">
        <f t="shared" si="2"/>
        <v>54023921</v>
      </c>
      <c r="L7" s="200">
        <f t="shared" si="2"/>
        <v>54682108</v>
      </c>
      <c r="M7" s="200">
        <f t="shared" si="2"/>
        <v>55600095</v>
      </c>
      <c r="N7" s="200">
        <f>N8+N9+N10+N12</f>
        <v>60281335</v>
      </c>
      <c r="O7" s="200">
        <f t="shared" ref="O7:Q7" si="3">O8+O9+O10+O12</f>
        <v>57701617</v>
      </c>
      <c r="P7" s="200">
        <f t="shared" si="3"/>
        <v>64697579</v>
      </c>
      <c r="Q7" s="200">
        <f t="shared" si="3"/>
        <v>65273187</v>
      </c>
    </row>
    <row r="8" spans="1:17" ht="15" customHeight="1">
      <c r="A8" s="66" t="s">
        <v>292</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c r="Q8" s="201">
        <v>49450871</v>
      </c>
    </row>
    <row r="9" spans="1:17" ht="15" customHeight="1">
      <c r="A9" s="66" t="s">
        <v>291</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c r="Q9" s="201">
        <v>11443284</v>
      </c>
    </row>
    <row r="10" spans="1:17" ht="15" customHeight="1">
      <c r="A10" s="66" t="s">
        <v>294</v>
      </c>
      <c r="B10" s="66" t="s">
        <v>186</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c r="Q10" s="201">
        <v>3186110</v>
      </c>
    </row>
    <row r="11" spans="1:17" ht="15" customHeight="1">
      <c r="A11" s="66" t="s">
        <v>295</v>
      </c>
      <c r="B11" s="66" t="s">
        <v>183</v>
      </c>
      <c r="C11" s="70">
        <v>0</v>
      </c>
      <c r="D11" s="70">
        <v>0</v>
      </c>
      <c r="E11" s="70">
        <v>0</v>
      </c>
      <c r="F11" s="70">
        <v>0</v>
      </c>
      <c r="G11" s="70">
        <v>0</v>
      </c>
      <c r="H11" s="70">
        <v>0</v>
      </c>
      <c r="I11" s="70">
        <v>0</v>
      </c>
      <c r="J11" s="70">
        <v>0</v>
      </c>
      <c r="K11" s="201">
        <v>0</v>
      </c>
      <c r="L11" s="201">
        <v>0</v>
      </c>
      <c r="M11" s="201">
        <v>0</v>
      </c>
      <c r="N11" s="201">
        <v>0</v>
      </c>
      <c r="O11" s="201">
        <v>0</v>
      </c>
      <c r="P11" s="201">
        <v>0</v>
      </c>
      <c r="Q11" s="201">
        <v>0</v>
      </c>
    </row>
    <row r="12" spans="1:17" ht="15" customHeight="1">
      <c r="A12" s="66" t="s">
        <v>242</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c r="Q12" s="201">
        <v>1192922</v>
      </c>
    </row>
    <row r="13" spans="1:17" ht="15" customHeight="1">
      <c r="A13" s="65" t="s">
        <v>296</v>
      </c>
      <c r="B13" s="65" t="s">
        <v>187</v>
      </c>
      <c r="C13" s="69">
        <f t="shared" ref="C13:M13" si="4">SUM(C14:C16)</f>
        <v>4104350</v>
      </c>
      <c r="D13" s="69">
        <f t="shared" si="4"/>
        <v>4783171</v>
      </c>
      <c r="E13" s="69">
        <f t="shared" si="4"/>
        <v>5177348</v>
      </c>
      <c r="F13" s="69">
        <f t="shared" si="4"/>
        <v>4323324</v>
      </c>
      <c r="G13" s="69">
        <f t="shared" si="4"/>
        <v>4618970</v>
      </c>
      <c r="H13" s="69">
        <f t="shared" si="4"/>
        <v>5073833</v>
      </c>
      <c r="I13" s="69">
        <f t="shared" si="4"/>
        <v>4452307</v>
      </c>
      <c r="J13" s="69">
        <f t="shared" si="4"/>
        <v>3911750</v>
      </c>
      <c r="K13" s="200">
        <f t="shared" si="4"/>
        <v>4538626</v>
      </c>
      <c r="L13" s="200">
        <f t="shared" si="4"/>
        <v>4496454</v>
      </c>
      <c r="M13" s="200">
        <f t="shared" si="4"/>
        <v>5064431</v>
      </c>
      <c r="N13" s="200">
        <f>N14+N15+N16</f>
        <v>4482747</v>
      </c>
      <c r="O13" s="200">
        <f t="shared" ref="O13:Q13" si="5">O14+O15+O16</f>
        <v>4193922</v>
      </c>
      <c r="P13" s="200">
        <f t="shared" si="5"/>
        <v>4714942</v>
      </c>
      <c r="Q13" s="200">
        <f t="shared" si="5"/>
        <v>5248446</v>
      </c>
    </row>
    <row r="14" spans="1:17" ht="15" customHeight="1">
      <c r="A14" s="66" t="s">
        <v>292</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c r="Q14" s="201">
        <v>4137611</v>
      </c>
    </row>
    <row r="15" spans="1:17" ht="15" customHeight="1">
      <c r="A15" s="66" t="s">
        <v>291</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c r="Q15" s="201">
        <v>1110789</v>
      </c>
    </row>
    <row r="16" spans="1:17" ht="15" customHeight="1">
      <c r="A16" s="66" t="s">
        <v>242</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c r="Q16" s="201">
        <f>47-1</f>
        <v>46</v>
      </c>
    </row>
    <row r="17" spans="1:17" ht="15" customHeight="1">
      <c r="A17" s="67" t="s">
        <v>58</v>
      </c>
      <c r="B17" s="67" t="s">
        <v>188</v>
      </c>
      <c r="C17" s="68">
        <f t="shared" ref="C17:M17" si="6">C3+C7+C13</f>
        <v>108452441</v>
      </c>
      <c r="D17" s="68">
        <f t="shared" si="6"/>
        <v>109111159</v>
      </c>
      <c r="E17" s="68">
        <f t="shared" si="6"/>
        <v>111022779</v>
      </c>
      <c r="F17" s="68">
        <f t="shared" si="6"/>
        <v>111481135</v>
      </c>
      <c r="G17" s="68">
        <f t="shared" si="6"/>
        <v>113576582</v>
      </c>
      <c r="H17" s="68">
        <f t="shared" si="6"/>
        <v>122024315</v>
      </c>
      <c r="I17" s="68">
        <f t="shared" si="6"/>
        <v>124629188</v>
      </c>
      <c r="J17" s="68">
        <f t="shared" si="6"/>
        <v>149616658</v>
      </c>
      <c r="K17" s="202">
        <f t="shared" si="6"/>
        <v>147745854</v>
      </c>
      <c r="L17" s="202">
        <f t="shared" si="6"/>
        <v>149675448</v>
      </c>
      <c r="M17" s="202">
        <f t="shared" si="6"/>
        <v>151026677</v>
      </c>
      <c r="N17" s="202">
        <f>N13+N7+N3</f>
        <v>156480343</v>
      </c>
      <c r="O17" s="202">
        <f t="shared" ref="O17:P17" si="7">O13+O7+O3</f>
        <v>157756779</v>
      </c>
      <c r="P17" s="202">
        <f t="shared" si="7"/>
        <v>165889547</v>
      </c>
      <c r="Q17" s="202">
        <f t="shared" ref="Q17" si="8">Q13+Q7+Q3</f>
        <v>166726404</v>
      </c>
    </row>
    <row r="19" spans="1:17">
      <c r="B19" s="279"/>
      <c r="C19" s="277"/>
      <c r="D19" s="277"/>
      <c r="E19" s="277"/>
      <c r="F19" s="277"/>
      <c r="G19" s="277"/>
      <c r="H19" s="277"/>
      <c r="I19" s="277"/>
      <c r="J19" s="277"/>
      <c r="K19" s="277"/>
      <c r="L19" s="277"/>
      <c r="N19" s="312"/>
      <c r="O19" s="312"/>
      <c r="P19" s="312"/>
      <c r="Q19" s="312"/>
    </row>
    <row r="20" spans="1:17">
      <c r="C20" s="278"/>
      <c r="D20" s="278"/>
      <c r="E20" s="278"/>
      <c r="F20" s="278"/>
      <c r="G20" s="278"/>
      <c r="H20" s="278"/>
      <c r="I20" s="278"/>
      <c r="J20" s="278"/>
      <c r="K20" s="278"/>
      <c r="L20" s="278"/>
      <c r="N20" s="313"/>
      <c r="O20" s="313"/>
      <c r="P20" s="313"/>
      <c r="Q20" s="313"/>
    </row>
    <row r="21" spans="1:17" s="3" customFormat="1">
      <c r="K21" s="193"/>
      <c r="N21" s="193"/>
      <c r="O21" s="193"/>
      <c r="P21" s="193"/>
      <c r="Q21" s="193"/>
    </row>
    <row r="23" spans="1:17">
      <c r="N23" s="313"/>
      <c r="O23" s="313"/>
      <c r="P23" s="313"/>
      <c r="Q23" s="313"/>
    </row>
    <row r="24" spans="1:17" s="3" customFormat="1">
      <c r="K24" s="193"/>
      <c r="N24" s="313"/>
      <c r="O24" s="313"/>
      <c r="P24" s="313"/>
      <c r="Q24" s="313"/>
    </row>
    <row r="25" spans="1:17" s="3" customFormat="1">
      <c r="K25" s="193"/>
      <c r="N25" s="313"/>
      <c r="O25" s="313"/>
      <c r="P25" s="313"/>
      <c r="Q25" s="313"/>
    </row>
  </sheetData>
  <customSheetViews>
    <customSheetView guid="{8FDDB7D7-275F-4F23-B770-BAF5AFA4F358}" showGridLines="0">
      <pane xSplit="2" ySplit="2" topLeftCell="C3" activePane="bottomRight" state="frozen"/>
      <selection pane="bottomRight" activeCell="C3" sqref="C3"/>
      <pageMargins left="0.7" right="0.7" top="0.75" bottom="0.75" header="0.3" footer="0.3"/>
      <pageSetup paperSize="9" orientation="portrait" r:id="rId1"/>
    </customSheetView>
    <customSheetView guid="{12F8D032-8143-430B-8DFF-852E8796C402}" showGridLines="0" topLeftCell="B1">
      <selection activeCell="G22" sqref="G22"/>
      <pageMargins left="0.7" right="0.7" top="0.75" bottom="0.75" header="0.3" footer="0.3"/>
      <pageSetup paperSize="9" orientation="portrait" r:id="rId2"/>
    </customSheetView>
    <customSheetView guid="{687A4863-1825-4D63-B732-E76682E6DE4F}" showGridLines="0" topLeftCell="F1">
      <selection activeCell="Q8" sqref="Q8"/>
      <pageMargins left="0.7" right="0.7" top="0.75" bottom="0.75" header="0.3" footer="0.3"/>
      <pageSetup paperSize="9" orientation="portrait" r:id="rId3"/>
    </customSheetView>
    <customSheetView guid="{57267270-6A97-4850-9DB6-FE6B399379AA}" topLeftCell="B1">
      <selection activeCell="O15" sqref="O15"/>
      <pageMargins left="0.7" right="0.7" top="0.75" bottom="0.75" header="0.3" footer="0.3"/>
    </customSheetView>
    <customSheetView guid="{8DA78CF1-615A-4626-9893-6751995631A4}" showGridLines="0" topLeftCell="G1">
      <selection activeCell="R8" sqref="R8"/>
      <pageMargins left="0.7" right="0.7" top="0.75" bottom="0.75" header="0.3" footer="0.3"/>
      <pageSetup paperSize="9" orientation="portrait" r:id="rId4"/>
    </customSheetView>
    <customSheetView guid="{25FAB884-5E17-4008-8139-33D910C7DEFE}">
      <selection activeCell="H37" sqref="H37"/>
      <pageMargins left="0.7" right="0.7" top="0.75" bottom="0.75" header="0.3" footer="0.3"/>
      <pageSetup paperSize="9" orientation="portrait" r:id="rId5"/>
    </customSheetView>
    <customSheetView guid="{899D69CD-4B7E-42BC-9944-5BD922EB798C}" topLeftCell="E1">
      <selection activeCell="A25" sqref="A25"/>
      <pageMargins left="0.7" right="0.7" top="0.75" bottom="0.75" header="0.3" footer="0.3"/>
      <pageSetup paperSize="9" orientation="portrait" r:id="rId6"/>
    </customSheetView>
    <customSheetView guid="{9AF4A83C-CF57-4B40-8A74-6A0EA6C2FE5C}" topLeftCell="C1">
      <selection activeCell="L26" sqref="L26"/>
      <pageMargins left="0.7" right="0.7" top="0.75" bottom="0.75" header="0.3" footer="0.3"/>
    </customSheetView>
    <customSheetView guid="{746490BF-9C44-4B41-8803-BEC9E453576A}" showGridLines="0">
      <pane xSplit="2" ySplit="2" topLeftCell="C3" activePane="bottomRight" state="frozen"/>
      <selection pane="bottomRight" activeCell="C3" sqref="C3"/>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zoomScaleNormal="72" workbookViewId="0">
      <selection activeCell="C2" sqref="C2"/>
    </sheetView>
  </sheetViews>
  <sheetFormatPr defaultColWidth="9.140625" defaultRowHeight="12.75"/>
  <cols>
    <col min="1" max="2" width="30.85546875" style="98" customWidth="1"/>
    <col min="3" max="16" width="13.42578125" style="98" customWidth="1"/>
    <col min="17" max="17" width="11" style="158" customWidth="1"/>
    <col min="18"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c r="Q1" s="148">
        <v>44104</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2">
        <v>322868</v>
      </c>
      <c r="M2" s="282">
        <v>284342</v>
      </c>
      <c r="N2" s="282">
        <v>2115445</v>
      </c>
      <c r="O2" s="282">
        <f>1957501-1</f>
        <v>1957500</v>
      </c>
      <c r="P2" s="282">
        <v>1272904</v>
      </c>
      <c r="Q2" s="440">
        <v>334447</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2">
        <v>1988052</v>
      </c>
      <c r="M3" s="282">
        <v>2481925</v>
      </c>
      <c r="N3" s="282">
        <v>1601232</v>
      </c>
      <c r="O3" s="282">
        <v>3595029</v>
      </c>
      <c r="P3" s="282">
        <v>2714773</v>
      </c>
      <c r="Q3" s="440">
        <v>2636965</v>
      </c>
    </row>
    <row r="4" spans="1:18" s="1" customFormat="1" ht="15" customHeight="1">
      <c r="A4" s="152" t="s">
        <v>288</v>
      </c>
      <c r="B4" s="153" t="s">
        <v>178</v>
      </c>
      <c r="C4" s="154">
        <f>SUM(C2:C3)</f>
        <v>2618114</v>
      </c>
      <c r="D4" s="154">
        <f t="shared" ref="D4:L4" si="0">SUM(D2:D3)</f>
        <v>1870753</v>
      </c>
      <c r="E4" s="154">
        <f t="shared" si="0"/>
        <v>2179043</v>
      </c>
      <c r="F4" s="154">
        <f t="shared" si="0"/>
        <v>2136474</v>
      </c>
      <c r="G4" s="154">
        <f t="shared" si="0"/>
        <v>1810599</v>
      </c>
      <c r="H4" s="154">
        <f t="shared" si="0"/>
        <v>1704602</v>
      </c>
      <c r="I4" s="154">
        <f t="shared" si="0"/>
        <v>1744046</v>
      </c>
      <c r="J4" s="154">
        <f t="shared" si="0"/>
        <v>2936281</v>
      </c>
      <c r="K4" s="154">
        <f t="shared" si="0"/>
        <v>1700644</v>
      </c>
      <c r="L4" s="204">
        <f t="shared" si="0"/>
        <v>2310920</v>
      </c>
      <c r="M4" s="204">
        <f>SUM(M2:M3)</f>
        <v>2766267</v>
      </c>
      <c r="N4" s="204">
        <f>SUM(N2:N3)</f>
        <v>3716677</v>
      </c>
      <c r="O4" s="204">
        <f>SUM(O2:O3)</f>
        <v>5552529</v>
      </c>
      <c r="P4" s="204">
        <f>SUM(P2:P3)</f>
        <v>3987677</v>
      </c>
      <c r="Q4" s="441">
        <f>SUM(Q2:Q3)</f>
        <v>2971412</v>
      </c>
      <c r="R4" s="375"/>
    </row>
    <row r="5" spans="1:18" ht="15" customHeight="1">
      <c r="A5" s="149" t="s">
        <v>396</v>
      </c>
      <c r="B5" s="150" t="s">
        <v>399</v>
      </c>
      <c r="C5" s="151">
        <v>0</v>
      </c>
      <c r="D5" s="151">
        <v>0</v>
      </c>
      <c r="E5" s="151">
        <v>0</v>
      </c>
      <c r="F5" s="151">
        <v>0</v>
      </c>
      <c r="G5" s="151">
        <v>0</v>
      </c>
      <c r="H5" s="151">
        <v>-67</v>
      </c>
      <c r="I5" s="151">
        <v>-71</v>
      </c>
      <c r="J5" s="151">
        <v>-67</v>
      </c>
      <c r="K5" s="151">
        <v>-67</v>
      </c>
      <c r="L5" s="282">
        <v>-84</v>
      </c>
      <c r="M5" s="282">
        <v>-86</v>
      </c>
      <c r="N5" s="282">
        <v>-95</v>
      </c>
      <c r="O5" s="282">
        <v>-102</v>
      </c>
      <c r="P5" s="282">
        <v>-102</v>
      </c>
      <c r="Q5" s="440">
        <v>-100</v>
      </c>
    </row>
    <row r="6" spans="1:18" s="1" customFormat="1" ht="15" customHeight="1">
      <c r="A6" s="94" t="s">
        <v>58</v>
      </c>
      <c r="B6" s="94" t="s">
        <v>43</v>
      </c>
      <c r="C6" s="95">
        <f>SUM(C4:C5)</f>
        <v>2618114</v>
      </c>
      <c r="D6" s="95">
        <f t="shared" ref="D6:L6" si="1">SUM(D4:D5)</f>
        <v>1870753</v>
      </c>
      <c r="E6" s="95">
        <f t="shared" si="1"/>
        <v>2179043</v>
      </c>
      <c r="F6" s="95">
        <f t="shared" si="1"/>
        <v>2136474</v>
      </c>
      <c r="G6" s="95">
        <f t="shared" si="1"/>
        <v>1810599</v>
      </c>
      <c r="H6" s="95">
        <f t="shared" si="1"/>
        <v>1704535</v>
      </c>
      <c r="I6" s="95">
        <f t="shared" si="1"/>
        <v>1743975</v>
      </c>
      <c r="J6" s="95">
        <f t="shared" si="1"/>
        <v>2936214</v>
      </c>
      <c r="K6" s="95">
        <f t="shared" si="1"/>
        <v>1700577</v>
      </c>
      <c r="L6" s="51">
        <f t="shared" si="1"/>
        <v>2310836</v>
      </c>
      <c r="M6" s="51">
        <f>SUM(M4:M5)</f>
        <v>2766181</v>
      </c>
      <c r="N6" s="51">
        <f>SUM(N4:N5)</f>
        <v>3716582</v>
      </c>
      <c r="O6" s="51">
        <f>SUM(O4:O5)</f>
        <v>5552427</v>
      </c>
      <c r="P6" s="51">
        <f>SUM(P4:P5)</f>
        <v>3987575</v>
      </c>
      <c r="Q6" s="442">
        <f>SUM(Q4:Q5)</f>
        <v>2971312</v>
      </c>
      <c r="R6" s="424"/>
    </row>
    <row r="7" spans="1:18" s="158" customFormat="1" ht="15" customHeight="1">
      <c r="A7" s="155"/>
      <c r="B7" s="156"/>
      <c r="C7" s="157"/>
      <c r="D7" s="157"/>
      <c r="E7" s="157"/>
      <c r="F7" s="157"/>
      <c r="G7" s="157"/>
      <c r="H7" s="157"/>
      <c r="I7" s="157"/>
      <c r="J7" s="157"/>
      <c r="K7" s="157"/>
      <c r="L7" s="283"/>
      <c r="M7" s="283"/>
      <c r="N7" s="374"/>
      <c r="O7" s="374"/>
      <c r="P7" s="374"/>
      <c r="Q7" s="443"/>
    </row>
    <row r="8" spans="1:18" ht="15" customHeight="1" thickBot="1">
      <c r="A8" s="64" t="s">
        <v>73</v>
      </c>
      <c r="B8" s="64" t="s">
        <v>27</v>
      </c>
      <c r="C8" s="148">
        <f>C1</f>
        <v>42825</v>
      </c>
      <c r="D8" s="148">
        <f t="shared" ref="D8:L8" si="2">D1</f>
        <v>42916</v>
      </c>
      <c r="E8" s="148">
        <f t="shared" si="2"/>
        <v>43008</v>
      </c>
      <c r="F8" s="148">
        <f t="shared" si="2"/>
        <v>43100</v>
      </c>
      <c r="G8" s="148">
        <f t="shared" si="2"/>
        <v>43190</v>
      </c>
      <c r="H8" s="148">
        <f t="shared" si="2"/>
        <v>43281</v>
      </c>
      <c r="I8" s="148">
        <f t="shared" si="2"/>
        <v>43373</v>
      </c>
      <c r="J8" s="148">
        <f t="shared" si="2"/>
        <v>43465</v>
      </c>
      <c r="K8" s="148">
        <f t="shared" si="2"/>
        <v>43555</v>
      </c>
      <c r="L8" s="284">
        <f t="shared" si="2"/>
        <v>43646</v>
      </c>
      <c r="M8" s="284">
        <f>M1</f>
        <v>43738</v>
      </c>
      <c r="N8" s="284">
        <f>N1</f>
        <v>43830</v>
      </c>
      <c r="O8" s="284">
        <f>O1</f>
        <v>43921</v>
      </c>
      <c r="P8" s="284">
        <f>P1</f>
        <v>44012</v>
      </c>
      <c r="Q8" s="439">
        <f>Q1</f>
        <v>44104</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2">
        <v>459178</v>
      </c>
      <c r="M9" s="282">
        <v>422961</v>
      </c>
      <c r="N9" s="282">
        <v>468294</v>
      </c>
      <c r="O9" s="282">
        <v>738535</v>
      </c>
      <c r="P9" s="282">
        <v>272615</v>
      </c>
      <c r="Q9" s="440">
        <v>971036</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2">
        <v>2003749</v>
      </c>
      <c r="M10" s="282">
        <v>2264498</v>
      </c>
      <c r="N10" s="282">
        <v>3213874</v>
      </c>
      <c r="O10" s="282">
        <v>2984844</v>
      </c>
      <c r="P10" s="282">
        <v>3003980</v>
      </c>
      <c r="Q10" s="440">
        <v>1945051</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2">
        <v>993407</v>
      </c>
      <c r="M11" s="282">
        <v>1309735</v>
      </c>
      <c r="N11" s="282">
        <v>1349576</v>
      </c>
      <c r="O11" s="282">
        <v>1669133</v>
      </c>
      <c r="P11" s="282">
        <v>2094055</v>
      </c>
      <c r="Q11" s="440">
        <v>2272766</v>
      </c>
    </row>
    <row r="12" spans="1:18" s="1" customFormat="1" ht="15" customHeight="1">
      <c r="A12" s="94" t="s">
        <v>58</v>
      </c>
      <c r="B12" s="94" t="s">
        <v>43</v>
      </c>
      <c r="C12" s="95">
        <f>SUM(C9:C11)</f>
        <v>2635608</v>
      </c>
      <c r="D12" s="95">
        <f t="shared" ref="D12:L12" si="3">SUM(D9:D11)</f>
        <v>2591607</v>
      </c>
      <c r="E12" s="95">
        <f t="shared" si="3"/>
        <v>2730481</v>
      </c>
      <c r="F12" s="95">
        <f t="shared" si="3"/>
        <v>2783083</v>
      </c>
      <c r="G12" s="95">
        <f t="shared" si="3"/>
        <v>3838090</v>
      </c>
      <c r="H12" s="95">
        <f t="shared" si="3"/>
        <v>3252586</v>
      </c>
      <c r="I12" s="95">
        <f t="shared" si="3"/>
        <v>3646033</v>
      </c>
      <c r="J12" s="95">
        <f t="shared" si="3"/>
        <v>2832928</v>
      </c>
      <c r="K12" s="95">
        <f t="shared" si="3"/>
        <v>2999969</v>
      </c>
      <c r="L12" s="51">
        <f t="shared" si="3"/>
        <v>3456334</v>
      </c>
      <c r="M12" s="51">
        <f>SUM(M9:M11)</f>
        <v>3997194</v>
      </c>
      <c r="N12" s="51">
        <f>SUM(N9:N11)</f>
        <v>5031744</v>
      </c>
      <c r="O12" s="51">
        <f>SUM(O9:O11)</f>
        <v>5392512</v>
      </c>
      <c r="P12" s="51">
        <f>SUM(P9:P11)</f>
        <v>5370650</v>
      </c>
      <c r="Q12" s="442">
        <f>SUM(Q9:Q11)</f>
        <v>5188853</v>
      </c>
      <c r="R12" s="424"/>
    </row>
  </sheetData>
  <customSheetViews>
    <customSheetView guid="{8FDDB7D7-275F-4F23-B770-BAF5AFA4F358}" showGridLines="0">
      <selection activeCell="C2" sqref="C2"/>
      <pageMargins left="0.7" right="0.7" top="0.75" bottom="0.75" header="0.3" footer="0.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1"/>
    </customSheetView>
    <customSheetView guid="{8DA78CF1-615A-4626-9893-6751995631A4}" scale="72" showGridLines="0">
      <pane xSplit="2" ySplit="1" topLeftCell="H2" activePane="bottomRight" state="frozen"/>
      <selection pane="bottomRight" activeCell="N20" sqref="N20"/>
      <pageMargins left="0.7" right="0.7" top="0.75" bottom="0.75" header="0.3" footer="0.3"/>
    </customSheetView>
    <customSheetView guid="{25FAB884-5E17-4008-8139-33D910C7DEFE}">
      <selection activeCell="H39" sqref="H39"/>
      <pageMargins left="0.7" right="0.7" top="0.75" bottom="0.75" header="0.3" footer="0.3"/>
    </customSheetView>
    <customSheetView guid="{899D69CD-4B7E-42BC-9944-5BD922EB798C}" topLeftCell="F1">
      <selection activeCell="K24" sqref="K24"/>
      <pageMargins left="0.7" right="0.7" top="0.75" bottom="0.75" header="0.3" footer="0.3"/>
    </customSheetView>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2"/>
    </customSheetView>
    <customSheetView guid="{746490BF-9C44-4B41-8803-BEC9E453576A}" showGridLines="0">
      <selection activeCell="C2" sqref="C2"/>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2.75"/>
  <cols>
    <col min="1" max="2" width="35.85546875" style="98" customWidth="1"/>
    <col min="3" max="12" width="13.42578125" style="98" customWidth="1"/>
    <col min="13" max="16" width="13.42578125" style="98" hidden="1" customWidth="1"/>
    <col min="17" max="18" width="13.42578125" style="98" customWidth="1"/>
    <col min="19" max="16384" width="9.140625" style="98"/>
  </cols>
  <sheetData>
    <row r="1" spans="1:18" ht="13.5" thickBot="1">
      <c r="A1" s="31" t="s">
        <v>522</v>
      </c>
      <c r="B1" s="31" t="s">
        <v>526</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c r="R1" s="148">
        <v>44104</v>
      </c>
    </row>
    <row r="2" spans="1:18" ht="25.5">
      <c r="A2" s="160" t="s">
        <v>504</v>
      </c>
      <c r="B2" s="160" t="s">
        <v>513</v>
      </c>
      <c r="C2" s="172">
        <f>SUM(C3:C5)</f>
        <v>1742397</v>
      </c>
      <c r="D2" s="172">
        <f>SUM(D3:D5)</f>
        <v>1604253</v>
      </c>
      <c r="E2" s="172">
        <f>SUM(E3:E5)</f>
        <v>1644383</v>
      </c>
      <c r="F2" s="172">
        <f t="shared" ref="F2:K2" si="0">SUM(F3:F5)</f>
        <v>1226551</v>
      </c>
      <c r="G2" s="172">
        <f>SUM(G3:G5)</f>
        <v>1226551</v>
      </c>
      <c r="H2" s="172">
        <f t="shared" si="0"/>
        <v>1089139</v>
      </c>
      <c r="I2" s="172">
        <f t="shared" si="0"/>
        <v>1500306</v>
      </c>
      <c r="J2" s="172">
        <f t="shared" si="0"/>
        <v>941677</v>
      </c>
      <c r="K2" s="172">
        <f t="shared" si="0"/>
        <v>1081227</v>
      </c>
      <c r="L2" s="172">
        <f t="shared" ref="L2:Q2" si="1">SUM(L3:L5)</f>
        <v>1249671</v>
      </c>
      <c r="M2" s="172">
        <f t="shared" si="1"/>
        <v>1336714</v>
      </c>
      <c r="N2" s="172">
        <f t="shared" si="1"/>
        <v>1761397</v>
      </c>
      <c r="O2" s="304">
        <f t="shared" si="1"/>
        <v>1474161</v>
      </c>
      <c r="P2" s="304">
        <f t="shared" si="1"/>
        <v>3673575</v>
      </c>
      <c r="Q2" s="304">
        <f t="shared" si="1"/>
        <v>2634383</v>
      </c>
      <c r="R2" s="304">
        <f t="shared" ref="R2" si="2">SUM(R3:R5)</f>
        <v>2721848</v>
      </c>
    </row>
    <row r="3" spans="1:18">
      <c r="A3" s="161" t="s">
        <v>505</v>
      </c>
      <c r="B3" s="161" t="s">
        <v>514</v>
      </c>
      <c r="C3" s="168">
        <v>966161</v>
      </c>
      <c r="D3" s="168">
        <v>811218</v>
      </c>
      <c r="E3" s="168">
        <v>801463</v>
      </c>
      <c r="F3" s="168">
        <v>307344</v>
      </c>
      <c r="G3" s="168">
        <v>307344</v>
      </c>
      <c r="H3" s="173">
        <v>359621</v>
      </c>
      <c r="I3" s="173">
        <v>378575</v>
      </c>
      <c r="J3" s="173">
        <v>339111</v>
      </c>
      <c r="K3" s="42">
        <v>553999</v>
      </c>
      <c r="L3" s="42">
        <v>661157</v>
      </c>
      <c r="M3" s="42">
        <v>723495</v>
      </c>
      <c r="N3" s="42">
        <v>875693</v>
      </c>
      <c r="O3" s="305">
        <v>719181</v>
      </c>
      <c r="P3" s="305">
        <v>1508980</v>
      </c>
      <c r="Q3" s="305">
        <v>1754874</v>
      </c>
      <c r="R3" s="305">
        <v>1704589</v>
      </c>
    </row>
    <row r="4" spans="1:18" ht="25.5">
      <c r="A4" s="162" t="s">
        <v>506</v>
      </c>
      <c r="B4" s="162" t="s">
        <v>515</v>
      </c>
      <c r="C4" s="407">
        <v>13079</v>
      </c>
      <c r="D4" s="407">
        <v>12382</v>
      </c>
      <c r="E4" s="406">
        <v>8268</v>
      </c>
      <c r="F4" s="168">
        <v>6053</v>
      </c>
      <c r="G4" s="168">
        <v>6053</v>
      </c>
      <c r="H4" s="173">
        <v>6880</v>
      </c>
      <c r="I4" s="173">
        <v>6394</v>
      </c>
      <c r="J4" s="173">
        <v>6282</v>
      </c>
      <c r="K4" s="42">
        <v>3279</v>
      </c>
      <c r="L4" s="42">
        <v>2844</v>
      </c>
      <c r="M4" s="42">
        <v>3148</v>
      </c>
      <c r="N4" s="42">
        <v>1916</v>
      </c>
      <c r="O4" s="305">
        <v>1450</v>
      </c>
      <c r="P4" s="305">
        <v>85</v>
      </c>
      <c r="Q4" s="305">
        <v>0</v>
      </c>
      <c r="R4" s="305">
        <v>0</v>
      </c>
    </row>
    <row r="5" spans="1:18">
      <c r="A5" s="161" t="s">
        <v>507</v>
      </c>
      <c r="B5" s="161" t="s">
        <v>516</v>
      </c>
      <c r="C5" s="168">
        <v>763157</v>
      </c>
      <c r="D5" s="168">
        <v>780653</v>
      </c>
      <c r="E5" s="168">
        <v>834652</v>
      </c>
      <c r="F5" s="168">
        <v>913154</v>
      </c>
      <c r="G5" s="168">
        <v>913154</v>
      </c>
      <c r="H5" s="173">
        <v>722638</v>
      </c>
      <c r="I5" s="173">
        <v>1115337</v>
      </c>
      <c r="J5" s="173">
        <v>596284</v>
      </c>
      <c r="K5" s="42">
        <v>523949</v>
      </c>
      <c r="L5" s="42">
        <v>585670</v>
      </c>
      <c r="M5" s="42">
        <v>610071</v>
      </c>
      <c r="N5" s="42">
        <v>883788</v>
      </c>
      <c r="O5" s="305">
        <v>753530</v>
      </c>
      <c r="P5" s="305">
        <v>2164510</v>
      </c>
      <c r="Q5" s="305">
        <v>879509</v>
      </c>
      <c r="R5" s="305">
        <v>1017259</v>
      </c>
    </row>
    <row r="6" spans="1:18">
      <c r="A6" s="163" t="s">
        <v>508</v>
      </c>
      <c r="B6" s="163" t="s">
        <v>517</v>
      </c>
      <c r="C6" s="174">
        <f>C7+C14</f>
        <v>745727</v>
      </c>
      <c r="D6" s="174">
        <f>D7+D14</f>
        <v>234987</v>
      </c>
      <c r="E6" s="174">
        <f t="shared" ref="E6:K6" si="3">E7+E14</f>
        <v>482164</v>
      </c>
      <c r="F6" s="172">
        <f t="shared" si="3"/>
        <v>203211</v>
      </c>
      <c r="G6" s="172">
        <f>G7+G14</f>
        <v>203211</v>
      </c>
      <c r="H6" s="172">
        <f t="shared" si="3"/>
        <v>139534</v>
      </c>
      <c r="I6" s="172">
        <f t="shared" si="3"/>
        <v>126703</v>
      </c>
      <c r="J6" s="172">
        <f t="shared" si="3"/>
        <v>242267</v>
      </c>
      <c r="K6" s="172">
        <f t="shared" si="3"/>
        <v>105636</v>
      </c>
      <c r="L6" s="172">
        <f>L7+L14</f>
        <v>157815</v>
      </c>
      <c r="M6" s="172">
        <f>M7+M14</f>
        <v>183443</v>
      </c>
      <c r="N6" s="172">
        <f>N7+N14</f>
        <v>999378</v>
      </c>
      <c r="O6" s="304">
        <f>O7+O14</f>
        <v>584347</v>
      </c>
      <c r="P6" s="304">
        <f t="shared" ref="P6:Q6" si="4">P7+P14</f>
        <v>228800</v>
      </c>
      <c r="Q6" s="304">
        <f t="shared" si="4"/>
        <v>86001</v>
      </c>
      <c r="R6" s="304">
        <f t="shared" ref="R6" si="5">R7+R14</f>
        <v>1975833</v>
      </c>
    </row>
    <row r="7" spans="1:18">
      <c r="A7" s="164" t="s">
        <v>509</v>
      </c>
      <c r="B7" s="164" t="s">
        <v>518</v>
      </c>
      <c r="C7" s="172">
        <f>C8+C10+C12</f>
        <v>716181</v>
      </c>
      <c r="D7" s="172">
        <f t="shared" ref="D7:N7" si="6">D8+D10+D12</f>
        <v>203709</v>
      </c>
      <c r="E7" s="172">
        <f t="shared" si="6"/>
        <v>421096</v>
      </c>
      <c r="F7" s="172">
        <f t="shared" si="6"/>
        <v>187750</v>
      </c>
      <c r="G7" s="172">
        <f>G8+G10+G12</f>
        <v>187750</v>
      </c>
      <c r="H7" s="172">
        <f t="shared" si="6"/>
        <v>113823</v>
      </c>
      <c r="I7" s="172">
        <f t="shared" si="6"/>
        <v>100986</v>
      </c>
      <c r="J7" s="172">
        <f t="shared" si="6"/>
        <v>224861</v>
      </c>
      <c r="K7" s="172">
        <f t="shared" si="6"/>
        <v>88735</v>
      </c>
      <c r="L7" s="172">
        <f t="shared" si="6"/>
        <v>136366</v>
      </c>
      <c r="M7" s="172">
        <f t="shared" si="6"/>
        <v>152273</v>
      </c>
      <c r="N7" s="172">
        <f t="shared" si="6"/>
        <v>981011</v>
      </c>
      <c r="O7" s="304">
        <f>O8+O10+O12</f>
        <v>546607</v>
      </c>
      <c r="P7" s="304">
        <f t="shared" ref="P7:Q7" si="7">P8+P10+P12</f>
        <v>224172</v>
      </c>
      <c r="Q7" s="304">
        <f t="shared" si="7"/>
        <v>72346</v>
      </c>
      <c r="R7" s="304">
        <f t="shared" ref="R7" si="8">R8+R10+R12</f>
        <v>1943664</v>
      </c>
    </row>
    <row r="8" spans="1:18">
      <c r="A8" s="161" t="s">
        <v>340</v>
      </c>
      <c r="B8" s="161" t="s">
        <v>350</v>
      </c>
      <c r="C8" s="42">
        <f t="shared" ref="C8:K8" si="9">C9</f>
        <v>715689</v>
      </c>
      <c r="D8" s="42">
        <f t="shared" si="9"/>
        <v>202369</v>
      </c>
      <c r="E8" s="42">
        <f t="shared" si="9"/>
        <v>419329</v>
      </c>
      <c r="F8" s="42">
        <f t="shared" si="9"/>
        <v>183702</v>
      </c>
      <c r="G8" s="42">
        <f t="shared" si="9"/>
        <v>183702</v>
      </c>
      <c r="H8" s="42">
        <f t="shared" si="9"/>
        <v>110112</v>
      </c>
      <c r="I8" s="42">
        <f t="shared" si="9"/>
        <v>95922</v>
      </c>
      <c r="J8" s="42">
        <f t="shared" si="9"/>
        <v>220292</v>
      </c>
      <c r="K8" s="42">
        <f t="shared" si="9"/>
        <v>84552</v>
      </c>
      <c r="L8" s="42">
        <f t="shared" ref="L8:R8" si="10">L9</f>
        <v>131731</v>
      </c>
      <c r="M8" s="42">
        <f t="shared" si="10"/>
        <v>147485</v>
      </c>
      <c r="N8" s="42">
        <f t="shared" si="10"/>
        <v>236425</v>
      </c>
      <c r="O8" s="305">
        <f t="shared" si="10"/>
        <v>391616</v>
      </c>
      <c r="P8" s="305">
        <f t="shared" si="10"/>
        <v>215475</v>
      </c>
      <c r="Q8" s="305">
        <f t="shared" si="10"/>
        <v>59240</v>
      </c>
      <c r="R8" s="305">
        <f t="shared" si="10"/>
        <v>185724</v>
      </c>
    </row>
    <row r="9" spans="1:18"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05">
        <v>391616</v>
      </c>
      <c r="P9" s="305">
        <v>215475</v>
      </c>
      <c r="Q9" s="305">
        <v>59240</v>
      </c>
      <c r="R9" s="305">
        <v>185724</v>
      </c>
    </row>
    <row r="10" spans="1:18" s="170" customFormat="1">
      <c r="A10" s="161" t="s">
        <v>342</v>
      </c>
      <c r="B10" s="161" t="s">
        <v>352</v>
      </c>
      <c r="C10" s="42">
        <f>C11</f>
        <v>0</v>
      </c>
      <c r="D10" s="42">
        <f t="shared" ref="D10:N10" si="11">D11</f>
        <v>0</v>
      </c>
      <c r="E10" s="42">
        <f t="shared" si="11"/>
        <v>0</v>
      </c>
      <c r="F10" s="42">
        <f t="shared" si="11"/>
        <v>0</v>
      </c>
      <c r="G10" s="42">
        <f t="shared" si="11"/>
        <v>0</v>
      </c>
      <c r="H10" s="42">
        <f t="shared" si="11"/>
        <v>0</v>
      </c>
      <c r="I10" s="42">
        <f t="shared" si="11"/>
        <v>0</v>
      </c>
      <c r="J10" s="42">
        <f t="shared" si="11"/>
        <v>0</v>
      </c>
      <c r="K10" s="42">
        <f t="shared" si="11"/>
        <v>0</v>
      </c>
      <c r="L10" s="42">
        <f t="shared" si="11"/>
        <v>0</v>
      </c>
      <c r="M10" s="42">
        <f t="shared" si="11"/>
        <v>0</v>
      </c>
      <c r="N10" s="42">
        <f t="shared" si="11"/>
        <v>739907</v>
      </c>
      <c r="O10" s="306">
        <f>O11</f>
        <v>149987</v>
      </c>
      <c r="P10" s="306">
        <f>P11</f>
        <v>0</v>
      </c>
      <c r="Q10" s="306">
        <f>Q11</f>
        <v>0</v>
      </c>
      <c r="R10" s="306">
        <f>R11</f>
        <v>0</v>
      </c>
    </row>
    <row r="11" spans="1:18"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05">
        <v>149987</v>
      </c>
      <c r="P11" s="305">
        <v>0</v>
      </c>
      <c r="Q11" s="305">
        <v>0</v>
      </c>
      <c r="R11" s="305">
        <v>0</v>
      </c>
    </row>
    <row r="12" spans="1:18">
      <c r="A12" s="161" t="s">
        <v>510</v>
      </c>
      <c r="B12" s="161" t="s">
        <v>519</v>
      </c>
      <c r="C12" s="42">
        <f t="shared" ref="C12:K12" si="12">C13</f>
        <v>492</v>
      </c>
      <c r="D12" s="42">
        <f t="shared" si="12"/>
        <v>1340</v>
      </c>
      <c r="E12" s="42">
        <f t="shared" si="12"/>
        <v>1767</v>
      </c>
      <c r="F12" s="42">
        <f t="shared" si="12"/>
        <v>4048</v>
      </c>
      <c r="G12" s="42">
        <f t="shared" si="12"/>
        <v>4048</v>
      </c>
      <c r="H12" s="42">
        <f t="shared" si="12"/>
        <v>3711</v>
      </c>
      <c r="I12" s="42">
        <f t="shared" si="12"/>
        <v>5064</v>
      </c>
      <c r="J12" s="42">
        <f t="shared" si="12"/>
        <v>4569</v>
      </c>
      <c r="K12" s="42">
        <f t="shared" si="12"/>
        <v>4183</v>
      </c>
      <c r="L12" s="42">
        <f t="shared" ref="L12:R12" si="13">L13</f>
        <v>4635</v>
      </c>
      <c r="M12" s="42">
        <f t="shared" si="13"/>
        <v>4788</v>
      </c>
      <c r="N12" s="42">
        <f t="shared" si="13"/>
        <v>4679</v>
      </c>
      <c r="O12" s="305">
        <f t="shared" si="13"/>
        <v>5004</v>
      </c>
      <c r="P12" s="305">
        <f t="shared" si="13"/>
        <v>8697</v>
      </c>
      <c r="Q12" s="305">
        <f t="shared" si="13"/>
        <v>13106</v>
      </c>
      <c r="R12" s="305">
        <f t="shared" si="13"/>
        <v>1757940</v>
      </c>
    </row>
    <row r="13" spans="1:18">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05">
        <v>5004</v>
      </c>
      <c r="P13" s="305">
        <v>8697</v>
      </c>
      <c r="Q13" s="305">
        <v>13106</v>
      </c>
      <c r="R13" s="305">
        <v>1757940</v>
      </c>
    </row>
    <row r="14" spans="1:18">
      <c r="A14" s="164" t="s">
        <v>511</v>
      </c>
      <c r="B14" s="164" t="s">
        <v>520</v>
      </c>
      <c r="C14" s="172">
        <v>29546</v>
      </c>
      <c r="D14" s="172">
        <v>31278</v>
      </c>
      <c r="E14" s="172">
        <v>61068</v>
      </c>
      <c r="F14" s="169">
        <v>15461</v>
      </c>
      <c r="G14" s="169">
        <v>15461</v>
      </c>
      <c r="H14" s="175">
        <v>25711</v>
      </c>
      <c r="I14" s="175">
        <v>25717</v>
      </c>
      <c r="J14" s="175">
        <v>17406</v>
      </c>
      <c r="K14" s="172">
        <v>16901</v>
      </c>
      <c r="L14" s="172">
        <v>21449</v>
      </c>
      <c r="M14" s="172">
        <v>31170</v>
      </c>
      <c r="N14" s="172">
        <v>18367</v>
      </c>
      <c r="O14" s="304">
        <v>37740</v>
      </c>
      <c r="P14" s="304">
        <v>4628</v>
      </c>
      <c r="Q14" s="304">
        <v>13655</v>
      </c>
      <c r="R14" s="304">
        <v>32169</v>
      </c>
    </row>
    <row r="15" spans="1:18">
      <c r="A15" s="166" t="s">
        <v>523</v>
      </c>
      <c r="B15" s="166" t="s">
        <v>527</v>
      </c>
      <c r="C15" s="167">
        <f>C2+C6</f>
        <v>2488124</v>
      </c>
      <c r="D15" s="167">
        <f t="shared" ref="D15:L15" si="14">D2+D6</f>
        <v>1839240</v>
      </c>
      <c r="E15" s="167">
        <f t="shared" si="14"/>
        <v>2126547</v>
      </c>
      <c r="F15" s="167">
        <f t="shared" si="14"/>
        <v>1429762</v>
      </c>
      <c r="G15" s="167">
        <f>G2+G6</f>
        <v>1429762</v>
      </c>
      <c r="H15" s="167">
        <f t="shared" si="14"/>
        <v>1228673</v>
      </c>
      <c r="I15" s="167">
        <f t="shared" si="14"/>
        <v>1627009</v>
      </c>
      <c r="J15" s="167">
        <f t="shared" si="14"/>
        <v>1183944</v>
      </c>
      <c r="K15" s="167">
        <f t="shared" si="14"/>
        <v>1186863</v>
      </c>
      <c r="L15" s="167">
        <f t="shared" si="14"/>
        <v>1407486</v>
      </c>
      <c r="M15" s="167">
        <f t="shared" ref="M15:R15" si="15">M2+M6</f>
        <v>1520157</v>
      </c>
      <c r="N15" s="167">
        <f t="shared" si="15"/>
        <v>2760775</v>
      </c>
      <c r="O15" s="307">
        <f t="shared" si="15"/>
        <v>2058508</v>
      </c>
      <c r="P15" s="307">
        <f t="shared" si="15"/>
        <v>3902375</v>
      </c>
      <c r="Q15" s="307">
        <f t="shared" si="15"/>
        <v>2720384</v>
      </c>
      <c r="R15" s="307">
        <f t="shared" si="15"/>
        <v>4697681</v>
      </c>
    </row>
    <row r="16" spans="1:18">
      <c r="A16" s="178"/>
      <c r="B16" s="178"/>
      <c r="C16" s="182"/>
      <c r="D16" s="182"/>
      <c r="E16" s="182"/>
      <c r="F16" s="182"/>
      <c r="G16" s="182"/>
      <c r="H16" s="182"/>
      <c r="I16" s="182"/>
      <c r="J16" s="182"/>
      <c r="K16" s="182"/>
      <c r="L16" s="182"/>
      <c r="M16" s="182"/>
      <c r="N16" s="182"/>
      <c r="O16" s="182"/>
      <c r="P16" s="182"/>
      <c r="Q16" s="453"/>
      <c r="R16" s="453"/>
    </row>
    <row r="17" spans="1:19">
      <c r="A17" s="178"/>
      <c r="B17" s="178"/>
      <c r="C17" s="179"/>
      <c r="D17" s="179"/>
      <c r="E17" s="179"/>
      <c r="F17" s="179"/>
      <c r="G17" s="179"/>
      <c r="H17" s="179"/>
      <c r="I17" s="179"/>
      <c r="J17" s="179"/>
      <c r="K17" s="179"/>
      <c r="L17" s="179"/>
    </row>
    <row r="18" spans="1:19" ht="26.25" thickBot="1">
      <c r="A18" s="31" t="s">
        <v>534</v>
      </c>
      <c r="B18" s="31" t="s">
        <v>539</v>
      </c>
      <c r="C18" s="148">
        <v>42825</v>
      </c>
      <c r="D18" s="148">
        <v>42916</v>
      </c>
      <c r="E18" s="148">
        <v>43008</v>
      </c>
      <c r="F18" s="148">
        <v>43100</v>
      </c>
      <c r="G18" s="148">
        <v>43101</v>
      </c>
      <c r="H18" s="148">
        <v>43190</v>
      </c>
      <c r="I18" s="148">
        <v>43281</v>
      </c>
      <c r="J18" s="148">
        <v>43373</v>
      </c>
      <c r="K18" s="148">
        <v>43465</v>
      </c>
      <c r="L18" s="148">
        <v>43555</v>
      </c>
      <c r="M18" s="148">
        <f t="shared" ref="M18:R18" si="16">M1</f>
        <v>43646</v>
      </c>
      <c r="N18" s="148">
        <f t="shared" si="16"/>
        <v>43738</v>
      </c>
      <c r="O18" s="148">
        <f t="shared" si="16"/>
        <v>43830</v>
      </c>
      <c r="P18" s="148">
        <f t="shared" si="16"/>
        <v>43921</v>
      </c>
      <c r="Q18" s="148">
        <f t="shared" si="16"/>
        <v>44012</v>
      </c>
      <c r="R18" s="148">
        <f t="shared" si="16"/>
        <v>44104</v>
      </c>
    </row>
    <row r="19" spans="1:19" ht="25.5">
      <c r="A19" s="181" t="s">
        <v>530</v>
      </c>
      <c r="B19" s="161" t="s">
        <v>536</v>
      </c>
      <c r="C19" s="173">
        <v>1254</v>
      </c>
      <c r="D19" s="173">
        <v>1031</v>
      </c>
      <c r="E19" s="173">
        <v>2356</v>
      </c>
      <c r="F19" s="173">
        <v>2283</v>
      </c>
      <c r="G19" s="173">
        <v>2283</v>
      </c>
      <c r="H19" s="173">
        <v>281</v>
      </c>
      <c r="I19" s="173">
        <v>277</v>
      </c>
      <c r="J19" s="173">
        <v>1084</v>
      </c>
      <c r="K19" s="173">
        <v>312</v>
      </c>
      <c r="L19" s="173">
        <v>139</v>
      </c>
      <c r="M19" s="173">
        <v>1241</v>
      </c>
      <c r="N19" s="173">
        <v>8</v>
      </c>
      <c r="O19" s="305">
        <v>2880</v>
      </c>
      <c r="P19" s="305">
        <v>0</v>
      </c>
      <c r="Q19" s="305">
        <v>0</v>
      </c>
      <c r="R19" s="305">
        <v>1064</v>
      </c>
    </row>
    <row r="20" spans="1:19" ht="25.5">
      <c r="A20" s="162" t="s">
        <v>531</v>
      </c>
      <c r="B20" s="162" t="s">
        <v>537</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08">
        <v>41093</v>
      </c>
      <c r="P20" s="308">
        <v>22023</v>
      </c>
      <c r="Q20" s="425">
        <v>30546</v>
      </c>
      <c r="R20" s="425">
        <v>31570</v>
      </c>
    </row>
    <row r="21" spans="1:19">
      <c r="A21" s="166" t="s">
        <v>532</v>
      </c>
      <c r="B21" s="166" t="s">
        <v>533</v>
      </c>
      <c r="C21" s="167">
        <f>C19+C20</f>
        <v>110789</v>
      </c>
      <c r="D21" s="167">
        <f t="shared" ref="D21:L21" si="17">D19+D20</f>
        <v>89111</v>
      </c>
      <c r="E21" s="167">
        <f t="shared" si="17"/>
        <v>115143</v>
      </c>
      <c r="F21" s="167">
        <f t="shared" si="17"/>
        <v>218061</v>
      </c>
      <c r="G21" s="167">
        <f>G19+G20</f>
        <v>218061</v>
      </c>
      <c r="H21" s="167">
        <f t="shared" si="17"/>
        <v>186449</v>
      </c>
      <c r="I21" s="167">
        <f t="shared" si="17"/>
        <v>90621</v>
      </c>
      <c r="J21" s="167">
        <f t="shared" si="17"/>
        <v>111100</v>
      </c>
      <c r="K21" s="167">
        <f t="shared" si="17"/>
        <v>73221</v>
      </c>
      <c r="L21" s="167">
        <f t="shared" si="17"/>
        <v>76382</v>
      </c>
      <c r="M21" s="167">
        <f t="shared" ref="M21:R21" si="18">M19+M20</f>
        <v>95406</v>
      </c>
      <c r="N21" s="167">
        <f t="shared" si="18"/>
        <v>38960</v>
      </c>
      <c r="O21" s="167">
        <f t="shared" si="18"/>
        <v>43973</v>
      </c>
      <c r="P21" s="167">
        <f t="shared" si="18"/>
        <v>22023</v>
      </c>
      <c r="Q21" s="167">
        <f t="shared" si="18"/>
        <v>30546</v>
      </c>
      <c r="R21" s="167">
        <f t="shared" si="18"/>
        <v>32634</v>
      </c>
    </row>
    <row r="22" spans="1:19">
      <c r="A22" s="178"/>
      <c r="B22" s="178"/>
      <c r="C22" s="344">
        <f>C15+C21-BS!D5</f>
        <v>0</v>
      </c>
      <c r="D22" s="344">
        <f>D15+D21-BS!E5</f>
        <v>0</v>
      </c>
      <c r="E22" s="344">
        <f>E15+E21-BS!F5</f>
        <v>0</v>
      </c>
      <c r="F22" s="344">
        <f>F15+F21-BS!G5</f>
        <v>0</v>
      </c>
      <c r="G22" s="344"/>
      <c r="H22" s="344">
        <f>H15+H21-BS!I5</f>
        <v>0</v>
      </c>
      <c r="I22" s="344">
        <f>I15+I21-BS!J5</f>
        <v>0</v>
      </c>
      <c r="J22" s="344">
        <f>J15+J21-BS!K5</f>
        <v>0</v>
      </c>
      <c r="K22" s="344">
        <f>K15+K21-BS!L5</f>
        <v>0</v>
      </c>
      <c r="L22" s="344">
        <f>L15+L21-BS!M5</f>
        <v>0</v>
      </c>
      <c r="M22" s="344">
        <f>M15+M21-BS!N5</f>
        <v>0</v>
      </c>
      <c r="N22" s="344">
        <f>N15+N21-BS!O5</f>
        <v>0</v>
      </c>
      <c r="O22" s="344">
        <f>O15+O21-BS!P5</f>
        <v>0</v>
      </c>
      <c r="P22" s="344">
        <f>P15+P21-BS!Q5</f>
        <v>0</v>
      </c>
      <c r="Q22" s="344">
        <f>Q15+Q21-BS!R5</f>
        <v>0</v>
      </c>
      <c r="R22" s="344">
        <f>R15+R21-BS!S5</f>
        <v>0</v>
      </c>
    </row>
    <row r="23" spans="1:19" ht="15" customHeight="1">
      <c r="C23" s="327"/>
      <c r="D23" s="327"/>
      <c r="E23" s="327"/>
      <c r="F23" s="327"/>
      <c r="G23" s="327"/>
      <c r="H23" s="327"/>
      <c r="I23" s="327"/>
      <c r="J23" s="327"/>
      <c r="K23" s="327"/>
      <c r="L23" s="327"/>
      <c r="M23" s="327"/>
      <c r="N23" s="327"/>
      <c r="O23" s="327"/>
      <c r="P23" s="327"/>
      <c r="Q23" s="327"/>
      <c r="R23" s="327"/>
    </row>
    <row r="24" spans="1:19">
      <c r="C24" s="327"/>
      <c r="D24" s="327"/>
      <c r="E24" s="327"/>
      <c r="F24" s="327"/>
      <c r="G24" s="327"/>
      <c r="H24" s="327"/>
      <c r="I24" s="327"/>
      <c r="J24" s="327"/>
      <c r="K24" s="327"/>
      <c r="L24" s="327"/>
      <c r="M24" s="327"/>
      <c r="N24" s="327"/>
      <c r="O24" s="327"/>
      <c r="P24" s="327"/>
      <c r="Q24" s="327"/>
      <c r="R24" s="327"/>
    </row>
    <row r="25" spans="1:19">
      <c r="A25" s="158"/>
      <c r="B25" s="158"/>
      <c r="C25" s="321"/>
      <c r="D25" s="321"/>
      <c r="E25" s="321"/>
      <c r="F25" s="321"/>
      <c r="G25" s="321"/>
      <c r="H25" s="321"/>
      <c r="I25" s="321"/>
      <c r="J25" s="321"/>
      <c r="K25" s="321"/>
      <c r="L25" s="321"/>
      <c r="M25" s="321"/>
      <c r="N25" s="321"/>
      <c r="O25" s="321"/>
      <c r="P25" s="321"/>
      <c r="Q25" s="321"/>
      <c r="R25" s="321"/>
    </row>
    <row r="26" spans="1:19" ht="26.25" thickBot="1">
      <c r="A26" s="322" t="s">
        <v>524</v>
      </c>
      <c r="B26" s="322" t="s">
        <v>528</v>
      </c>
      <c r="C26" s="148">
        <v>42825</v>
      </c>
      <c r="D26" s="148">
        <v>42916</v>
      </c>
      <c r="E26" s="148">
        <v>43008</v>
      </c>
      <c r="F26" s="148">
        <v>43100</v>
      </c>
      <c r="G26" s="148">
        <v>43101</v>
      </c>
      <c r="H26" s="148">
        <v>43190</v>
      </c>
      <c r="I26" s="148">
        <v>43281</v>
      </c>
      <c r="J26" s="148">
        <v>43373</v>
      </c>
      <c r="K26" s="148">
        <v>43465</v>
      </c>
      <c r="L26" s="148">
        <v>43555</v>
      </c>
      <c r="M26" s="148">
        <f t="shared" ref="M26:R26" si="19">M18</f>
        <v>43646</v>
      </c>
      <c r="N26" s="148">
        <f t="shared" si="19"/>
        <v>43738</v>
      </c>
      <c r="O26" s="148">
        <f t="shared" si="19"/>
        <v>43830</v>
      </c>
      <c r="P26" s="148">
        <f t="shared" si="19"/>
        <v>43921</v>
      </c>
      <c r="Q26" s="148">
        <f t="shared" si="19"/>
        <v>44012</v>
      </c>
      <c r="R26" s="148">
        <f t="shared" si="19"/>
        <v>44104</v>
      </c>
    </row>
    <row r="27" spans="1:19" ht="25.5">
      <c r="A27" s="160" t="s">
        <v>504</v>
      </c>
      <c r="B27" s="160" t="s">
        <v>513</v>
      </c>
      <c r="C27" s="172">
        <f>SUM(C28:C30)</f>
        <v>1590912</v>
      </c>
      <c r="D27" s="172">
        <f>SUM(D28:D30)</f>
        <v>1502171</v>
      </c>
      <c r="E27" s="172">
        <f>SUM(E28:E30)</f>
        <v>1487405</v>
      </c>
      <c r="F27" s="172">
        <f>SUM(F28:F30)</f>
        <v>1237704</v>
      </c>
      <c r="G27" s="172">
        <f>SUM(G28:G30)</f>
        <v>1237704</v>
      </c>
      <c r="H27" s="172">
        <v>954909</v>
      </c>
      <c r="I27" s="172">
        <f t="shared" ref="I27:P27" si="20">SUM(I28:I30)</f>
        <v>1194616</v>
      </c>
      <c r="J27" s="172">
        <f t="shared" si="20"/>
        <v>891658</v>
      </c>
      <c r="K27" s="172">
        <f t="shared" si="20"/>
        <v>1058024</v>
      </c>
      <c r="L27" s="172">
        <f t="shared" si="20"/>
        <v>1166394</v>
      </c>
      <c r="M27" s="172">
        <f t="shared" si="20"/>
        <v>1401461</v>
      </c>
      <c r="N27" s="172">
        <f t="shared" si="20"/>
        <v>1793215</v>
      </c>
      <c r="O27" s="309">
        <f t="shared" si="20"/>
        <v>1524250</v>
      </c>
      <c r="P27" s="309">
        <f t="shared" si="20"/>
        <v>3339834</v>
      </c>
      <c r="Q27" s="309">
        <f t="shared" ref="Q27:R27" si="21">SUM(Q28:Q30)</f>
        <v>2656612</v>
      </c>
      <c r="R27" s="309">
        <f t="shared" si="21"/>
        <v>2754926</v>
      </c>
      <c r="S27" s="170"/>
    </row>
    <row r="28" spans="1:19">
      <c r="A28" s="161" t="s">
        <v>505</v>
      </c>
      <c r="B28" s="161" t="s">
        <v>514</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05">
        <v>766820</v>
      </c>
      <c r="P28" s="305">
        <v>1505261</v>
      </c>
      <c r="Q28" s="306">
        <v>1736358</v>
      </c>
      <c r="R28" s="306">
        <v>1797322</v>
      </c>
      <c r="S28" s="170"/>
    </row>
    <row r="29" spans="1:19" ht="25.5">
      <c r="A29" s="162" t="s">
        <v>506</v>
      </c>
      <c r="B29" s="162" t="s">
        <v>515</v>
      </c>
      <c r="C29" s="173">
        <v>13079</v>
      </c>
      <c r="D29" s="173">
        <v>12382</v>
      </c>
      <c r="E29" s="173">
        <v>8268</v>
      </c>
      <c r="F29" s="173">
        <v>6053</v>
      </c>
      <c r="G29" s="173">
        <v>6053</v>
      </c>
      <c r="H29" s="173">
        <v>6880</v>
      </c>
      <c r="I29" s="173">
        <v>6394</v>
      </c>
      <c r="J29" s="173">
        <v>6282</v>
      </c>
      <c r="K29" s="42">
        <v>3279</v>
      </c>
      <c r="L29" s="42">
        <v>2844</v>
      </c>
      <c r="M29" s="42">
        <v>3148</v>
      </c>
      <c r="N29" s="42">
        <v>1916</v>
      </c>
      <c r="O29" s="305">
        <v>1450</v>
      </c>
      <c r="P29" s="305">
        <v>85</v>
      </c>
      <c r="Q29" s="306">
        <v>0</v>
      </c>
      <c r="R29" s="306">
        <v>0</v>
      </c>
      <c r="S29" s="170"/>
    </row>
    <row r="30" spans="1:19">
      <c r="A30" s="161" t="s">
        <v>507</v>
      </c>
      <c r="B30" s="161" t="s">
        <v>516</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05">
        <v>755980</v>
      </c>
      <c r="P30" s="305">
        <v>1834488</v>
      </c>
      <c r="Q30" s="306">
        <v>920254</v>
      </c>
      <c r="R30" s="306">
        <v>957604</v>
      </c>
      <c r="S30" s="170"/>
    </row>
    <row r="31" spans="1:19">
      <c r="A31" s="165" t="s">
        <v>512</v>
      </c>
      <c r="B31" s="165" t="s">
        <v>521</v>
      </c>
      <c r="C31" s="175">
        <f>176936+580131</f>
        <v>757067</v>
      </c>
      <c r="D31" s="175">
        <f>182684</f>
        <v>182684</v>
      </c>
      <c r="E31" s="175">
        <f>375319</f>
        <v>375319</v>
      </c>
      <c r="F31" s="176">
        <f>230895</f>
        <v>230895</v>
      </c>
      <c r="G31" s="176">
        <f>230895</f>
        <v>230895</v>
      </c>
      <c r="H31" s="175">
        <f>622545</f>
        <v>622545</v>
      </c>
      <c r="I31" s="176">
        <f>105024</f>
        <v>105024</v>
      </c>
      <c r="J31" s="176">
        <f>675323</f>
        <v>675323</v>
      </c>
      <c r="K31" s="177">
        <f>423377</f>
        <v>423377</v>
      </c>
      <c r="L31" s="177">
        <f>722673</f>
        <v>722673</v>
      </c>
      <c r="M31" s="177">
        <f>394767</f>
        <v>394767</v>
      </c>
      <c r="N31" s="177">
        <v>220460</v>
      </c>
      <c r="O31" s="310">
        <v>332563</v>
      </c>
      <c r="P31" s="310">
        <v>143000</v>
      </c>
      <c r="Q31" s="426">
        <v>210553</v>
      </c>
      <c r="R31" s="426">
        <v>114331</v>
      </c>
      <c r="S31" s="170"/>
    </row>
    <row r="32" spans="1:19">
      <c r="A32" s="166" t="s">
        <v>525</v>
      </c>
      <c r="B32" s="166" t="s">
        <v>529</v>
      </c>
      <c r="C32" s="167">
        <f t="shared" ref="C32:L32" si="22">C27+C31</f>
        <v>2347979</v>
      </c>
      <c r="D32" s="167">
        <f t="shared" si="22"/>
        <v>1684855</v>
      </c>
      <c r="E32" s="167">
        <f t="shared" si="22"/>
        <v>1862724</v>
      </c>
      <c r="F32" s="167">
        <f t="shared" si="22"/>
        <v>1468599</v>
      </c>
      <c r="G32" s="167">
        <f>G27+G31</f>
        <v>1468599</v>
      </c>
      <c r="H32" s="167">
        <f t="shared" si="22"/>
        <v>1577454</v>
      </c>
      <c r="I32" s="167">
        <f t="shared" si="22"/>
        <v>1299640</v>
      </c>
      <c r="J32" s="167">
        <f t="shared" si="22"/>
        <v>1566981</v>
      </c>
      <c r="K32" s="167">
        <f t="shared" si="22"/>
        <v>1481401</v>
      </c>
      <c r="L32" s="167">
        <f t="shared" si="22"/>
        <v>1889067</v>
      </c>
      <c r="M32" s="167">
        <f t="shared" ref="M32:R32" si="23">M27+M31</f>
        <v>1796228</v>
      </c>
      <c r="N32" s="167">
        <f t="shared" si="23"/>
        <v>2013675</v>
      </c>
      <c r="O32" s="311">
        <f t="shared" si="23"/>
        <v>1856813</v>
      </c>
      <c r="P32" s="311">
        <f t="shared" si="23"/>
        <v>3482834</v>
      </c>
      <c r="Q32" s="311">
        <f t="shared" si="23"/>
        <v>2867165</v>
      </c>
      <c r="R32" s="311">
        <f t="shared" si="23"/>
        <v>2869257</v>
      </c>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535</v>
      </c>
      <c r="B35" s="31" t="s">
        <v>538</v>
      </c>
      <c r="C35" s="148">
        <f>C26</f>
        <v>42825</v>
      </c>
      <c r="D35" s="148">
        <v>42916</v>
      </c>
      <c r="E35" s="148">
        <v>43008</v>
      </c>
      <c r="F35" s="148">
        <v>43100</v>
      </c>
      <c r="G35" s="148">
        <v>43100</v>
      </c>
      <c r="H35" s="148">
        <v>43190</v>
      </c>
      <c r="I35" s="148">
        <v>43281</v>
      </c>
      <c r="J35" s="148">
        <v>43373</v>
      </c>
      <c r="K35" s="148">
        <v>43465</v>
      </c>
      <c r="L35" s="148">
        <v>43555</v>
      </c>
      <c r="M35" s="148">
        <f t="shared" ref="M35:R35" si="24">M26</f>
        <v>43646</v>
      </c>
      <c r="N35" s="148">
        <f t="shared" si="24"/>
        <v>43738</v>
      </c>
      <c r="O35" s="148">
        <f t="shared" si="24"/>
        <v>43830</v>
      </c>
      <c r="P35" s="148">
        <f t="shared" si="24"/>
        <v>43921</v>
      </c>
      <c r="Q35" s="148">
        <f t="shared" si="24"/>
        <v>44012</v>
      </c>
      <c r="R35" s="148">
        <f t="shared" si="24"/>
        <v>44104</v>
      </c>
    </row>
    <row r="36" spans="1:19" ht="30" customHeight="1">
      <c r="A36" s="181" t="s">
        <v>530</v>
      </c>
      <c r="B36" s="161" t="s">
        <v>536</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05">
        <v>156700</v>
      </c>
      <c r="P36" s="305">
        <v>348701</v>
      </c>
      <c r="Q36" s="306">
        <v>409101</v>
      </c>
      <c r="R36" s="306">
        <v>407133</v>
      </c>
    </row>
    <row r="37" spans="1:19" ht="30" customHeight="1">
      <c r="A37" s="162" t="s">
        <v>531</v>
      </c>
      <c r="B37" s="162" t="s">
        <v>537</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08">
        <v>838927</v>
      </c>
      <c r="P37" s="308">
        <v>1514772</v>
      </c>
      <c r="Q37" s="425">
        <v>1233706</v>
      </c>
      <c r="R37" s="425">
        <v>1292157</v>
      </c>
    </row>
    <row r="38" spans="1:19">
      <c r="A38" s="166" t="s">
        <v>532</v>
      </c>
      <c r="B38" s="166" t="s">
        <v>533</v>
      </c>
      <c r="C38" s="167">
        <f t="shared" ref="C38:P38" si="25">C36+C37</f>
        <v>1359523</v>
      </c>
      <c r="D38" s="167">
        <f t="shared" si="25"/>
        <v>1186008</v>
      </c>
      <c r="E38" s="167">
        <f t="shared" si="25"/>
        <v>992306</v>
      </c>
      <c r="F38" s="167">
        <f t="shared" si="25"/>
        <v>578798</v>
      </c>
      <c r="G38" s="167">
        <f t="shared" si="25"/>
        <v>578798</v>
      </c>
      <c r="H38" s="167">
        <f t="shared" si="25"/>
        <v>642311</v>
      </c>
      <c r="I38" s="167">
        <f t="shared" si="25"/>
        <v>951207</v>
      </c>
      <c r="J38" s="167">
        <f t="shared" si="25"/>
        <v>848089</v>
      </c>
      <c r="K38" s="167">
        <f t="shared" si="25"/>
        <v>912482</v>
      </c>
      <c r="L38" s="167">
        <f t="shared" si="25"/>
        <v>910434</v>
      </c>
      <c r="M38" s="167">
        <f t="shared" si="25"/>
        <v>882794</v>
      </c>
      <c r="N38" s="167">
        <f t="shared" si="25"/>
        <v>1280987</v>
      </c>
      <c r="O38" s="307">
        <f t="shared" si="25"/>
        <v>995627</v>
      </c>
      <c r="P38" s="307">
        <f t="shared" si="25"/>
        <v>1863473</v>
      </c>
      <c r="Q38" s="307">
        <f t="shared" ref="Q38:R38" si="26">Q36+Q37</f>
        <v>1642807</v>
      </c>
      <c r="R38" s="307">
        <f t="shared" si="26"/>
        <v>1699290</v>
      </c>
    </row>
    <row r="39" spans="1:19">
      <c r="A39" s="294"/>
      <c r="B39" s="294"/>
      <c r="C39" s="329">
        <f>C32+C38-BS!D30</f>
        <v>0</v>
      </c>
      <c r="D39" s="329">
        <f>D32+D38-BS!E30</f>
        <v>0</v>
      </c>
      <c r="E39" s="329">
        <f>E32+E38-BS!F30</f>
        <v>0</v>
      </c>
      <c r="F39" s="329">
        <f>F32+F38-BS!G30</f>
        <v>0</v>
      </c>
      <c r="G39" s="329">
        <f>G32+G38-BS!H30</f>
        <v>0</v>
      </c>
      <c r="H39" s="329">
        <f>H32+H38-BS!I30</f>
        <v>0</v>
      </c>
      <c r="I39" s="329">
        <f>I32+I38-BS!J30</f>
        <v>0</v>
      </c>
      <c r="J39" s="329">
        <f>J32+J38-BS!K30</f>
        <v>0</v>
      </c>
      <c r="K39" s="329">
        <f>K32+K38-BS!L30</f>
        <v>0</v>
      </c>
      <c r="L39" s="329">
        <f>L32+L38-BS!M30</f>
        <v>0</v>
      </c>
      <c r="M39" s="329">
        <f>M32+M38-BS!N30</f>
        <v>0</v>
      </c>
      <c r="N39" s="329">
        <f>N32+N38-BS!O30</f>
        <v>0</v>
      </c>
      <c r="O39" s="329">
        <f>O32+O38-BS!P30</f>
        <v>0</v>
      </c>
      <c r="P39" s="329">
        <f>P32+P38-BS!Q30</f>
        <v>0</v>
      </c>
      <c r="Q39" s="329">
        <f>Q32+Q38-BS!R30</f>
        <v>0</v>
      </c>
      <c r="R39" s="329">
        <f>R32+R38-BS!S30</f>
        <v>0</v>
      </c>
    </row>
    <row r="40" spans="1:19">
      <c r="A40" s="294"/>
      <c r="B40" s="328" t="s">
        <v>650</v>
      </c>
      <c r="C40" s="321"/>
      <c r="D40" s="321"/>
      <c r="E40" s="321"/>
      <c r="F40" s="321"/>
      <c r="G40" s="321"/>
      <c r="H40" s="321"/>
      <c r="I40" s="321"/>
      <c r="J40" s="321"/>
      <c r="K40" s="321"/>
      <c r="L40" s="321"/>
      <c r="M40" s="321"/>
      <c r="N40" s="321"/>
      <c r="O40" s="321"/>
      <c r="P40" s="294"/>
      <c r="Q40" s="294"/>
    </row>
    <row r="41" spans="1:19">
      <c r="A41" s="332"/>
      <c r="B41" s="331" t="s">
        <v>649</v>
      </c>
      <c r="C41" s="338"/>
      <c r="D41" s="338"/>
      <c r="E41" s="338"/>
      <c r="F41" s="338"/>
      <c r="G41" s="338"/>
      <c r="H41" s="338"/>
      <c r="I41" s="338"/>
      <c r="J41" s="338"/>
      <c r="K41" s="338"/>
      <c r="L41" s="338"/>
      <c r="M41" s="338"/>
      <c r="N41" s="338"/>
      <c r="O41" s="338"/>
      <c r="P41" s="294"/>
      <c r="Q41" s="294"/>
    </row>
    <row r="42" spans="1:19">
      <c r="A42" s="332"/>
      <c r="B42" s="332"/>
      <c r="C42" s="338"/>
      <c r="D42" s="338"/>
      <c r="E42" s="338"/>
      <c r="F42" s="338"/>
      <c r="G42" s="338"/>
      <c r="H42" s="338"/>
      <c r="I42" s="338"/>
      <c r="J42" s="338"/>
      <c r="K42" s="338"/>
      <c r="L42" s="338"/>
      <c r="M42" s="338"/>
      <c r="N42" s="338"/>
      <c r="O42" s="338"/>
      <c r="P42" s="294"/>
      <c r="Q42" s="294"/>
    </row>
    <row r="43" spans="1:19">
      <c r="A43" s="338"/>
      <c r="B43" s="338"/>
      <c r="C43" s="338"/>
      <c r="D43" s="338"/>
      <c r="E43" s="338"/>
      <c r="F43" s="338"/>
      <c r="G43" s="338"/>
      <c r="H43" s="338"/>
      <c r="I43" s="338"/>
      <c r="J43" s="338"/>
      <c r="K43" s="338"/>
      <c r="L43" s="338"/>
      <c r="M43" s="338"/>
      <c r="N43" s="338"/>
      <c r="O43" s="338"/>
      <c r="P43" s="340"/>
      <c r="Q43" s="340"/>
    </row>
    <row r="44" spans="1:19" s="158" customFormat="1" ht="14.25">
      <c r="A44" s="341"/>
      <c r="B44" s="341"/>
      <c r="C44" s="339"/>
      <c r="D44" s="339"/>
      <c r="E44" s="339"/>
      <c r="F44" s="339"/>
      <c r="G44" s="339"/>
      <c r="H44" s="339"/>
      <c r="I44" s="339"/>
      <c r="J44" s="339"/>
      <c r="K44" s="339"/>
      <c r="L44" s="339"/>
      <c r="M44" s="339"/>
      <c r="N44" s="339"/>
      <c r="O44" s="339"/>
      <c r="P44" s="342"/>
      <c r="Q44" s="342"/>
    </row>
    <row r="45" spans="1:19">
      <c r="A45" s="338"/>
      <c r="B45" s="338"/>
      <c r="C45" s="338"/>
      <c r="D45" s="338"/>
      <c r="E45" s="338"/>
      <c r="F45" s="338"/>
      <c r="G45" s="338"/>
      <c r="H45" s="338"/>
      <c r="I45" s="338"/>
      <c r="J45" s="338"/>
      <c r="K45" s="338"/>
      <c r="L45" s="338"/>
      <c r="M45" s="338"/>
      <c r="N45" s="338"/>
      <c r="O45" s="338"/>
      <c r="P45" s="340"/>
      <c r="Q45" s="340"/>
    </row>
    <row r="46" spans="1:19">
      <c r="A46" s="343"/>
      <c r="B46" s="343"/>
      <c r="C46" s="343"/>
      <c r="D46" s="343"/>
      <c r="E46" s="343"/>
      <c r="F46" s="343"/>
      <c r="G46" s="343"/>
      <c r="H46" s="343"/>
      <c r="I46" s="343"/>
      <c r="J46" s="343"/>
      <c r="K46" s="343"/>
      <c r="L46" s="343"/>
      <c r="M46" s="343"/>
      <c r="N46" s="343"/>
      <c r="O46" s="343"/>
      <c r="P46" s="340"/>
      <c r="Q46" s="340"/>
    </row>
    <row r="47" spans="1:19">
      <c r="A47" s="340"/>
      <c r="B47" s="340"/>
      <c r="C47" s="340"/>
      <c r="D47" s="340"/>
      <c r="E47" s="340"/>
      <c r="F47" s="340"/>
      <c r="G47" s="340"/>
      <c r="H47" s="340"/>
      <c r="I47" s="340"/>
      <c r="J47" s="340"/>
      <c r="K47" s="340"/>
      <c r="L47" s="340"/>
      <c r="M47" s="340"/>
      <c r="N47" s="340"/>
      <c r="O47" s="340"/>
      <c r="P47" s="340"/>
      <c r="Q47" s="340"/>
    </row>
    <row r="48" spans="1:19">
      <c r="A48" s="340"/>
      <c r="B48" s="340"/>
      <c r="C48" s="340"/>
      <c r="D48" s="340"/>
      <c r="E48" s="340"/>
      <c r="F48" s="340"/>
      <c r="G48" s="340"/>
      <c r="H48" s="340"/>
      <c r="I48" s="340"/>
      <c r="J48" s="340"/>
      <c r="K48" s="340"/>
      <c r="L48" s="340"/>
      <c r="M48" s="340"/>
      <c r="N48" s="340"/>
      <c r="O48" s="340"/>
      <c r="P48" s="340"/>
      <c r="Q48" s="340"/>
    </row>
    <row r="49" spans="1:17">
      <c r="A49" s="340"/>
      <c r="B49" s="340"/>
      <c r="C49" s="340"/>
      <c r="D49" s="340"/>
      <c r="E49" s="340"/>
      <c r="F49" s="340"/>
      <c r="G49" s="340"/>
      <c r="H49" s="340"/>
      <c r="I49" s="340"/>
      <c r="J49" s="340"/>
      <c r="K49" s="340"/>
      <c r="L49" s="340"/>
      <c r="M49" s="340"/>
      <c r="N49" s="340"/>
      <c r="O49" s="340"/>
      <c r="P49" s="340"/>
      <c r="Q49" s="340"/>
    </row>
    <row r="50" spans="1:17">
      <c r="A50" s="340"/>
      <c r="B50" s="340"/>
      <c r="C50" s="340"/>
      <c r="D50" s="340"/>
      <c r="E50" s="340"/>
      <c r="F50" s="340"/>
      <c r="G50" s="340"/>
      <c r="H50" s="340"/>
      <c r="I50" s="340"/>
      <c r="J50" s="340"/>
      <c r="K50" s="340"/>
      <c r="L50" s="340"/>
      <c r="M50" s="340"/>
      <c r="N50" s="340"/>
      <c r="O50" s="340"/>
      <c r="P50" s="340"/>
      <c r="Q50" s="340"/>
    </row>
    <row r="51" spans="1:17">
      <c r="A51" s="340"/>
      <c r="B51" s="340"/>
      <c r="C51" s="340"/>
      <c r="D51" s="340"/>
      <c r="E51" s="340"/>
      <c r="F51" s="340"/>
      <c r="G51" s="340"/>
      <c r="H51" s="340"/>
      <c r="I51" s="340"/>
      <c r="J51" s="340"/>
      <c r="K51" s="340"/>
      <c r="L51" s="340"/>
      <c r="M51" s="340"/>
      <c r="N51" s="340"/>
      <c r="O51" s="340"/>
      <c r="P51" s="340"/>
      <c r="Q51" s="340"/>
    </row>
    <row r="52" spans="1:17">
      <c r="A52" s="340"/>
      <c r="B52" s="340"/>
      <c r="C52" s="340"/>
      <c r="D52" s="340"/>
      <c r="E52" s="340"/>
      <c r="F52" s="340"/>
      <c r="G52" s="340"/>
      <c r="H52" s="340"/>
      <c r="I52" s="340"/>
      <c r="J52" s="340"/>
      <c r="K52" s="340"/>
      <c r="L52" s="340"/>
      <c r="M52" s="340"/>
      <c r="N52" s="340"/>
      <c r="O52" s="340"/>
      <c r="P52" s="340"/>
      <c r="Q52" s="340"/>
    </row>
    <row r="53" spans="1:17">
      <c r="A53" s="340"/>
      <c r="B53" s="340"/>
      <c r="C53" s="340"/>
      <c r="D53" s="340"/>
      <c r="E53" s="340"/>
      <c r="F53" s="340"/>
      <c r="G53" s="340"/>
      <c r="H53" s="340"/>
      <c r="I53" s="340"/>
      <c r="J53" s="340"/>
      <c r="K53" s="340"/>
      <c r="L53" s="340"/>
      <c r="M53" s="340"/>
      <c r="N53" s="340"/>
      <c r="O53" s="340"/>
      <c r="P53" s="340"/>
      <c r="Q53" s="340"/>
    </row>
    <row r="54" spans="1:17">
      <c r="A54" s="340"/>
      <c r="B54" s="340"/>
      <c r="C54" s="340"/>
      <c r="D54" s="340"/>
      <c r="E54" s="340"/>
      <c r="F54" s="340"/>
      <c r="G54" s="340"/>
      <c r="H54" s="340"/>
      <c r="I54" s="340"/>
      <c r="J54" s="340"/>
      <c r="K54" s="340"/>
      <c r="L54" s="340"/>
      <c r="M54" s="340"/>
      <c r="N54" s="340"/>
      <c r="O54" s="340"/>
      <c r="P54" s="340"/>
      <c r="Q54" s="340"/>
    </row>
    <row r="55" spans="1:17">
      <c r="A55" s="340"/>
      <c r="B55" s="340"/>
      <c r="C55" s="340"/>
      <c r="D55" s="340"/>
      <c r="E55" s="340"/>
      <c r="F55" s="340"/>
      <c r="G55" s="340"/>
      <c r="H55" s="340"/>
      <c r="I55" s="340"/>
      <c r="J55" s="340"/>
      <c r="K55" s="340"/>
      <c r="L55" s="340"/>
      <c r="M55" s="340"/>
      <c r="N55" s="340"/>
      <c r="O55" s="340"/>
      <c r="P55" s="340"/>
      <c r="Q55" s="340"/>
    </row>
    <row r="56" spans="1:17">
      <c r="A56" s="340"/>
      <c r="B56" s="340"/>
      <c r="C56" s="340"/>
      <c r="D56" s="340"/>
      <c r="E56" s="340"/>
      <c r="F56" s="340"/>
      <c r="G56" s="340"/>
      <c r="H56" s="340"/>
      <c r="I56" s="340"/>
      <c r="J56" s="340"/>
      <c r="K56" s="340"/>
      <c r="L56" s="340"/>
      <c r="M56" s="340"/>
      <c r="N56" s="340"/>
      <c r="O56" s="340"/>
      <c r="P56" s="340"/>
      <c r="Q56" s="340"/>
    </row>
    <row r="57" spans="1:17">
      <c r="A57" s="340"/>
      <c r="B57" s="340"/>
      <c r="C57" s="340"/>
      <c r="D57" s="340"/>
      <c r="E57" s="340"/>
      <c r="F57" s="340"/>
      <c r="G57" s="340"/>
      <c r="H57" s="340"/>
      <c r="I57" s="340"/>
      <c r="J57" s="340"/>
      <c r="K57" s="340"/>
      <c r="L57" s="340"/>
      <c r="M57" s="340"/>
      <c r="N57" s="340"/>
      <c r="O57" s="340"/>
      <c r="P57" s="340"/>
      <c r="Q57" s="340"/>
    </row>
    <row r="58" spans="1:17">
      <c r="A58" s="340"/>
      <c r="B58" s="340"/>
      <c r="C58" s="340"/>
      <c r="D58" s="340"/>
      <c r="E58" s="340"/>
      <c r="F58" s="340"/>
      <c r="G58" s="340"/>
      <c r="H58" s="340"/>
      <c r="I58" s="340"/>
      <c r="J58" s="340"/>
      <c r="K58" s="340"/>
      <c r="L58" s="340"/>
      <c r="M58" s="340"/>
      <c r="N58" s="340"/>
      <c r="O58" s="340"/>
      <c r="P58" s="340"/>
      <c r="Q58" s="340"/>
    </row>
    <row r="59" spans="1:17">
      <c r="A59" s="340"/>
      <c r="B59" s="340"/>
      <c r="C59" s="340"/>
      <c r="D59" s="340"/>
      <c r="E59" s="340"/>
      <c r="F59" s="340"/>
      <c r="G59" s="340"/>
      <c r="H59" s="340"/>
      <c r="I59" s="340"/>
      <c r="J59" s="340"/>
      <c r="K59" s="340"/>
      <c r="L59" s="340"/>
      <c r="M59" s="340"/>
      <c r="N59" s="340"/>
      <c r="O59" s="340"/>
      <c r="P59" s="340"/>
      <c r="Q59" s="340"/>
    </row>
    <row r="60" spans="1:17">
      <c r="A60" s="340"/>
      <c r="B60" s="340"/>
      <c r="C60" s="340"/>
      <c r="D60" s="340"/>
      <c r="E60" s="340"/>
      <c r="F60" s="340"/>
      <c r="G60" s="340"/>
      <c r="H60" s="340"/>
      <c r="I60" s="340"/>
      <c r="J60" s="340"/>
      <c r="K60" s="340"/>
      <c r="L60" s="340"/>
      <c r="M60" s="340"/>
      <c r="N60" s="340"/>
      <c r="O60" s="340"/>
      <c r="P60" s="340"/>
      <c r="Q60" s="340"/>
    </row>
    <row r="61" spans="1:17">
      <c r="A61" s="340"/>
      <c r="B61" s="340"/>
      <c r="C61" s="340"/>
      <c r="D61" s="340"/>
      <c r="E61" s="340"/>
      <c r="F61" s="340"/>
      <c r="G61" s="340"/>
      <c r="H61" s="340"/>
      <c r="I61" s="340"/>
      <c r="J61" s="340"/>
      <c r="K61" s="340"/>
      <c r="L61" s="340"/>
      <c r="M61" s="340"/>
      <c r="N61" s="340"/>
      <c r="O61" s="340"/>
      <c r="P61" s="340"/>
      <c r="Q61" s="340"/>
    </row>
    <row r="62" spans="1:17">
      <c r="A62" s="340"/>
      <c r="B62" s="340"/>
      <c r="C62" s="340"/>
      <c r="D62" s="340"/>
      <c r="E62" s="340"/>
      <c r="F62" s="340"/>
      <c r="G62" s="340"/>
      <c r="H62" s="340"/>
      <c r="I62" s="340"/>
      <c r="J62" s="340"/>
      <c r="K62" s="340"/>
      <c r="L62" s="340"/>
      <c r="M62" s="340"/>
      <c r="N62" s="340"/>
      <c r="O62" s="340"/>
      <c r="P62" s="340"/>
      <c r="Q62" s="340"/>
    </row>
    <row r="63" spans="1:17">
      <c r="A63" s="340"/>
      <c r="B63" s="340"/>
      <c r="C63" s="340"/>
      <c r="D63" s="340"/>
      <c r="E63" s="340"/>
      <c r="F63" s="340"/>
      <c r="G63" s="340"/>
      <c r="H63" s="340"/>
      <c r="I63" s="340"/>
      <c r="J63" s="340"/>
      <c r="K63" s="340"/>
      <c r="L63" s="340"/>
      <c r="M63" s="340"/>
      <c r="N63" s="340"/>
      <c r="O63" s="340"/>
      <c r="P63" s="340"/>
      <c r="Q63" s="340"/>
    </row>
    <row r="64" spans="1:17">
      <c r="A64" s="340"/>
      <c r="B64" s="340"/>
      <c r="C64" s="340"/>
      <c r="D64" s="340"/>
      <c r="E64" s="340"/>
      <c r="F64" s="340"/>
      <c r="G64" s="340"/>
      <c r="H64" s="340"/>
      <c r="I64" s="340"/>
      <c r="J64" s="340"/>
      <c r="K64" s="340"/>
      <c r="L64" s="340"/>
      <c r="M64" s="340"/>
      <c r="N64" s="340"/>
      <c r="O64" s="340"/>
      <c r="P64" s="340"/>
      <c r="Q64" s="340"/>
    </row>
    <row r="65" spans="1:17">
      <c r="A65" s="340"/>
      <c r="B65" s="340"/>
      <c r="C65" s="340"/>
      <c r="D65" s="340"/>
      <c r="E65" s="340"/>
      <c r="F65" s="340"/>
      <c r="G65" s="340"/>
      <c r="H65" s="340"/>
      <c r="I65" s="340"/>
      <c r="J65" s="340"/>
      <c r="K65" s="340"/>
      <c r="L65" s="340"/>
      <c r="M65" s="340"/>
      <c r="N65" s="340"/>
      <c r="O65" s="340"/>
      <c r="P65" s="340"/>
      <c r="Q65" s="340"/>
    </row>
    <row r="66" spans="1:17">
      <c r="A66" s="340"/>
      <c r="B66" s="340"/>
      <c r="C66" s="340"/>
      <c r="D66" s="340"/>
      <c r="E66" s="340"/>
      <c r="F66" s="340"/>
      <c r="G66" s="340"/>
      <c r="H66" s="340"/>
      <c r="I66" s="340"/>
      <c r="J66" s="340"/>
      <c r="K66" s="340"/>
      <c r="L66" s="340"/>
      <c r="M66" s="340"/>
      <c r="N66" s="340"/>
      <c r="O66" s="340"/>
      <c r="P66" s="340"/>
      <c r="Q66" s="340"/>
    </row>
    <row r="67" spans="1:17">
      <c r="A67" s="340"/>
      <c r="B67" s="340"/>
      <c r="C67" s="340"/>
      <c r="D67" s="340"/>
      <c r="E67" s="340"/>
      <c r="F67" s="340"/>
      <c r="G67" s="340"/>
      <c r="H67" s="340"/>
      <c r="I67" s="340"/>
      <c r="J67" s="340"/>
      <c r="K67" s="340"/>
      <c r="L67" s="340"/>
      <c r="M67" s="340"/>
      <c r="N67" s="340"/>
      <c r="O67" s="340"/>
      <c r="P67" s="340"/>
      <c r="Q67" s="340"/>
    </row>
    <row r="68" spans="1:17">
      <c r="A68" s="340"/>
      <c r="B68" s="340"/>
      <c r="C68" s="340"/>
      <c r="D68" s="340"/>
      <c r="E68" s="340"/>
      <c r="F68" s="340"/>
      <c r="G68" s="340"/>
      <c r="H68" s="340"/>
      <c r="I68" s="340"/>
      <c r="J68" s="340"/>
      <c r="K68" s="340"/>
      <c r="L68" s="340"/>
      <c r="M68" s="340"/>
      <c r="N68" s="340"/>
      <c r="O68" s="340"/>
      <c r="P68" s="340"/>
      <c r="Q68" s="340"/>
    </row>
    <row r="69" spans="1:17">
      <c r="A69" s="340"/>
      <c r="B69" s="340"/>
      <c r="C69" s="340"/>
      <c r="D69" s="340"/>
      <c r="E69" s="340"/>
      <c r="F69" s="340"/>
      <c r="G69" s="340"/>
      <c r="H69" s="340"/>
      <c r="I69" s="340"/>
      <c r="J69" s="340"/>
      <c r="K69" s="340"/>
      <c r="L69" s="340"/>
      <c r="M69" s="340"/>
      <c r="N69" s="340"/>
      <c r="O69" s="340"/>
      <c r="P69" s="340"/>
      <c r="Q69" s="340"/>
    </row>
    <row r="70" spans="1:17">
      <c r="A70" s="340"/>
      <c r="B70" s="340"/>
      <c r="C70" s="340"/>
      <c r="D70" s="340"/>
      <c r="E70" s="340"/>
      <c r="F70" s="340"/>
      <c r="G70" s="340"/>
      <c r="H70" s="340"/>
      <c r="I70" s="340"/>
      <c r="J70" s="340"/>
      <c r="K70" s="340"/>
      <c r="L70" s="340"/>
      <c r="M70" s="340"/>
      <c r="N70" s="340"/>
      <c r="O70" s="340"/>
      <c r="P70" s="340"/>
      <c r="Q70" s="340"/>
    </row>
    <row r="71" spans="1:17">
      <c r="A71" s="340"/>
      <c r="B71" s="340"/>
      <c r="C71" s="340"/>
      <c r="D71" s="340"/>
      <c r="E71" s="340"/>
      <c r="F71" s="340"/>
      <c r="G71" s="340"/>
      <c r="H71" s="340"/>
      <c r="I71" s="340"/>
      <c r="J71" s="340"/>
      <c r="K71" s="340"/>
      <c r="L71" s="340"/>
      <c r="M71" s="340"/>
      <c r="N71" s="340"/>
      <c r="O71" s="340"/>
      <c r="P71" s="340"/>
      <c r="Q71" s="340"/>
    </row>
    <row r="72" spans="1:17">
      <c r="A72" s="340"/>
      <c r="B72" s="340"/>
      <c r="C72" s="340"/>
      <c r="D72" s="340"/>
      <c r="E72" s="340"/>
      <c r="F72" s="340"/>
      <c r="G72" s="340"/>
      <c r="H72" s="340"/>
      <c r="I72" s="340"/>
      <c r="J72" s="340"/>
      <c r="K72" s="340"/>
      <c r="L72" s="340"/>
      <c r="M72" s="340"/>
      <c r="N72" s="340"/>
      <c r="O72" s="340"/>
      <c r="P72" s="340"/>
      <c r="Q72" s="340"/>
    </row>
    <row r="73" spans="1:17">
      <c r="A73" s="340"/>
      <c r="B73" s="340"/>
      <c r="C73" s="340"/>
      <c r="D73" s="340"/>
      <c r="E73" s="340"/>
      <c r="F73" s="340"/>
      <c r="G73" s="340"/>
      <c r="H73" s="340"/>
      <c r="I73" s="340"/>
      <c r="J73" s="340"/>
      <c r="K73" s="340"/>
      <c r="L73" s="340"/>
      <c r="M73" s="340"/>
      <c r="N73" s="340"/>
      <c r="O73" s="340"/>
      <c r="P73" s="340"/>
      <c r="Q73" s="340"/>
    </row>
    <row r="74" spans="1:17">
      <c r="A74" s="340"/>
      <c r="B74" s="340"/>
      <c r="C74" s="340"/>
      <c r="D74" s="340"/>
      <c r="E74" s="340"/>
      <c r="F74" s="340"/>
      <c r="G74" s="340"/>
      <c r="H74" s="340"/>
      <c r="I74" s="340"/>
      <c r="J74" s="340"/>
      <c r="K74" s="340"/>
      <c r="L74" s="340"/>
      <c r="M74" s="340"/>
      <c r="N74" s="340"/>
      <c r="O74" s="340"/>
      <c r="P74" s="340"/>
      <c r="Q74" s="340"/>
    </row>
    <row r="75" spans="1:17">
      <c r="A75" s="340"/>
      <c r="B75" s="340"/>
      <c r="C75" s="340"/>
      <c r="D75" s="340"/>
      <c r="E75" s="340"/>
      <c r="F75" s="340"/>
      <c r="G75" s="340"/>
      <c r="H75" s="340"/>
      <c r="I75" s="340"/>
      <c r="J75" s="340"/>
      <c r="K75" s="340"/>
      <c r="L75" s="340"/>
      <c r="M75" s="340"/>
      <c r="N75" s="340"/>
      <c r="O75" s="340"/>
      <c r="P75" s="340"/>
      <c r="Q75" s="340"/>
    </row>
    <row r="76" spans="1:17">
      <c r="A76" s="340"/>
      <c r="B76" s="340"/>
      <c r="C76" s="340"/>
      <c r="D76" s="340"/>
      <c r="E76" s="340"/>
      <c r="F76" s="340"/>
      <c r="G76" s="340"/>
      <c r="H76" s="340"/>
      <c r="I76" s="340"/>
      <c r="J76" s="340"/>
      <c r="K76" s="340"/>
      <c r="L76" s="340"/>
      <c r="M76" s="340"/>
      <c r="N76" s="340"/>
      <c r="O76" s="340"/>
      <c r="P76" s="340"/>
      <c r="Q76" s="340"/>
    </row>
    <row r="77" spans="1:17">
      <c r="A77" s="340"/>
      <c r="B77" s="340"/>
      <c r="C77" s="340"/>
      <c r="D77" s="340"/>
      <c r="E77" s="340"/>
      <c r="F77" s="340"/>
      <c r="G77" s="340"/>
      <c r="H77" s="340"/>
      <c r="I77" s="340"/>
      <c r="J77" s="340"/>
      <c r="K77" s="340"/>
      <c r="L77" s="340"/>
      <c r="M77" s="340"/>
      <c r="N77" s="340"/>
      <c r="O77" s="340"/>
      <c r="P77" s="340"/>
      <c r="Q77" s="340"/>
    </row>
    <row r="78" spans="1:17">
      <c r="A78" s="340"/>
      <c r="B78" s="340"/>
      <c r="C78" s="340"/>
      <c r="D78" s="340"/>
      <c r="E78" s="340"/>
      <c r="F78" s="340"/>
      <c r="G78" s="340"/>
      <c r="H78" s="340"/>
      <c r="I78" s="340"/>
      <c r="J78" s="340"/>
      <c r="K78" s="340"/>
      <c r="L78" s="340"/>
      <c r="M78" s="340"/>
      <c r="N78" s="340"/>
      <c r="O78" s="340"/>
      <c r="P78" s="340"/>
      <c r="Q78" s="340"/>
    </row>
    <row r="79" spans="1:17">
      <c r="A79" s="340"/>
      <c r="B79" s="340"/>
      <c r="C79" s="340"/>
      <c r="D79" s="340"/>
      <c r="E79" s="340"/>
      <c r="F79" s="340"/>
      <c r="G79" s="340"/>
      <c r="H79" s="340"/>
      <c r="I79" s="340"/>
      <c r="J79" s="340"/>
      <c r="K79" s="340"/>
      <c r="L79" s="340"/>
      <c r="M79" s="340"/>
      <c r="N79" s="340"/>
      <c r="O79" s="340"/>
      <c r="P79" s="340"/>
      <c r="Q79" s="340"/>
    </row>
    <row r="80" spans="1:17">
      <c r="A80" s="340"/>
      <c r="B80" s="340"/>
      <c r="C80" s="340"/>
      <c r="D80" s="340"/>
      <c r="E80" s="340"/>
      <c r="F80" s="340"/>
      <c r="G80" s="340"/>
      <c r="H80" s="340"/>
      <c r="I80" s="340"/>
      <c r="J80" s="340"/>
      <c r="K80" s="340"/>
      <c r="L80" s="340"/>
      <c r="M80" s="340"/>
      <c r="N80" s="340"/>
      <c r="O80" s="340"/>
      <c r="P80" s="340"/>
      <c r="Q80" s="340"/>
    </row>
    <row r="81" spans="1:17">
      <c r="A81" s="340"/>
      <c r="B81" s="340"/>
      <c r="C81" s="340"/>
      <c r="D81" s="340"/>
      <c r="E81" s="340"/>
      <c r="F81" s="340"/>
      <c r="G81" s="340"/>
      <c r="H81" s="340"/>
      <c r="I81" s="340"/>
      <c r="J81" s="340"/>
      <c r="K81" s="340"/>
      <c r="L81" s="340"/>
      <c r="M81" s="340"/>
      <c r="N81" s="340"/>
      <c r="O81" s="340"/>
      <c r="P81" s="340"/>
      <c r="Q81" s="340"/>
    </row>
    <row r="82" spans="1:17">
      <c r="A82" s="340"/>
      <c r="B82" s="340"/>
      <c r="C82" s="340"/>
      <c r="D82" s="340"/>
      <c r="E82" s="340"/>
      <c r="F82" s="340"/>
      <c r="G82" s="340"/>
      <c r="H82" s="340"/>
      <c r="I82" s="340"/>
      <c r="J82" s="340"/>
      <c r="K82" s="340"/>
      <c r="L82" s="340"/>
      <c r="M82" s="340"/>
      <c r="N82" s="340"/>
      <c r="O82" s="340"/>
      <c r="P82" s="340"/>
      <c r="Q82" s="340"/>
    </row>
    <row r="83" spans="1:17">
      <c r="A83" s="340"/>
      <c r="B83" s="340"/>
      <c r="C83" s="340"/>
      <c r="D83" s="340"/>
      <c r="E83" s="340"/>
      <c r="F83" s="340"/>
      <c r="G83" s="340"/>
      <c r="H83" s="340"/>
      <c r="I83" s="340"/>
      <c r="J83" s="340"/>
      <c r="K83" s="340"/>
      <c r="L83" s="340"/>
      <c r="M83" s="340"/>
      <c r="N83" s="340"/>
      <c r="O83" s="340"/>
      <c r="P83" s="340"/>
      <c r="Q83" s="340"/>
    </row>
    <row r="84" spans="1:17">
      <c r="A84" s="340"/>
      <c r="B84" s="340"/>
      <c r="C84" s="340"/>
      <c r="D84" s="340"/>
      <c r="E84" s="340"/>
      <c r="F84" s="340"/>
      <c r="G84" s="340"/>
      <c r="H84" s="340"/>
      <c r="I84" s="340"/>
      <c r="J84" s="340"/>
      <c r="K84" s="340"/>
      <c r="L84" s="340"/>
      <c r="M84" s="340"/>
      <c r="N84" s="340"/>
      <c r="O84" s="340"/>
      <c r="P84" s="340"/>
      <c r="Q84" s="340"/>
    </row>
    <row r="85" spans="1:17">
      <c r="A85" s="340"/>
      <c r="B85" s="340"/>
      <c r="C85" s="340"/>
      <c r="D85" s="340"/>
      <c r="E85" s="340"/>
      <c r="F85" s="340"/>
      <c r="G85" s="340"/>
      <c r="H85" s="340"/>
      <c r="I85" s="340"/>
      <c r="J85" s="340"/>
      <c r="K85" s="340"/>
      <c r="L85" s="340"/>
      <c r="M85" s="340"/>
      <c r="N85" s="340"/>
      <c r="O85" s="340"/>
      <c r="P85" s="340"/>
      <c r="Q85" s="340"/>
    </row>
    <row r="86" spans="1:17">
      <c r="A86" s="340"/>
      <c r="B86" s="340"/>
      <c r="C86" s="340"/>
      <c r="D86" s="340"/>
      <c r="E86" s="340"/>
      <c r="F86" s="340"/>
      <c r="G86" s="340"/>
      <c r="H86" s="340"/>
      <c r="I86" s="340"/>
      <c r="J86" s="340"/>
      <c r="K86" s="340"/>
      <c r="L86" s="340"/>
      <c r="M86" s="340"/>
      <c r="N86" s="340"/>
      <c r="O86" s="340"/>
      <c r="P86" s="340"/>
      <c r="Q86" s="340"/>
    </row>
    <row r="87" spans="1:17">
      <c r="A87" s="340"/>
      <c r="B87" s="340"/>
      <c r="C87" s="340"/>
      <c r="D87" s="340"/>
      <c r="E87" s="340"/>
      <c r="F87" s="340"/>
      <c r="G87" s="340"/>
      <c r="H87" s="340"/>
      <c r="I87" s="340"/>
      <c r="J87" s="340"/>
      <c r="K87" s="340"/>
      <c r="L87" s="340"/>
      <c r="M87" s="340"/>
      <c r="N87" s="340"/>
      <c r="O87" s="340"/>
      <c r="P87" s="340"/>
      <c r="Q87" s="340"/>
    </row>
    <row r="88" spans="1:17">
      <c r="A88" s="340"/>
      <c r="B88" s="340"/>
      <c r="C88" s="340"/>
      <c r="D88" s="340"/>
      <c r="E88" s="340"/>
      <c r="F88" s="340"/>
      <c r="G88" s="340"/>
      <c r="H88" s="340"/>
      <c r="I88" s="340"/>
      <c r="J88" s="340"/>
      <c r="K88" s="340"/>
      <c r="L88" s="340"/>
      <c r="M88" s="340"/>
      <c r="N88" s="340"/>
      <c r="O88" s="340"/>
      <c r="P88" s="340"/>
      <c r="Q88" s="340"/>
    </row>
    <row r="89" spans="1:17">
      <c r="A89" s="340"/>
      <c r="B89" s="340"/>
      <c r="C89" s="340"/>
      <c r="D89" s="340"/>
      <c r="E89" s="340"/>
      <c r="F89" s="340"/>
      <c r="G89" s="340"/>
      <c r="H89" s="340"/>
      <c r="I89" s="340"/>
      <c r="J89" s="340"/>
      <c r="K89" s="340"/>
      <c r="L89" s="340"/>
      <c r="M89" s="340"/>
      <c r="N89" s="340"/>
      <c r="O89" s="340"/>
      <c r="P89" s="340"/>
      <c r="Q89" s="340"/>
    </row>
    <row r="90" spans="1:17">
      <c r="A90" s="340"/>
      <c r="B90" s="340"/>
      <c r="C90" s="340"/>
      <c r="D90" s="340"/>
      <c r="E90" s="340"/>
      <c r="F90" s="340"/>
      <c r="G90" s="340"/>
      <c r="H90" s="340"/>
      <c r="I90" s="340"/>
      <c r="J90" s="340"/>
      <c r="K90" s="340"/>
      <c r="L90" s="340"/>
      <c r="M90" s="340"/>
      <c r="N90" s="340"/>
      <c r="O90" s="340"/>
      <c r="P90" s="340"/>
      <c r="Q90" s="340"/>
    </row>
    <row r="91" spans="1:17">
      <c r="A91" s="340"/>
      <c r="B91" s="340"/>
      <c r="C91" s="340"/>
      <c r="D91" s="340"/>
      <c r="E91" s="340"/>
      <c r="F91" s="340"/>
      <c r="G91" s="340"/>
      <c r="H91" s="340"/>
      <c r="I91" s="340"/>
      <c r="J91" s="340"/>
      <c r="K91" s="340"/>
      <c r="L91" s="340"/>
      <c r="M91" s="340"/>
      <c r="N91" s="340"/>
      <c r="O91" s="340"/>
      <c r="P91" s="340"/>
      <c r="Q91" s="340"/>
    </row>
    <row r="92" spans="1:17">
      <c r="A92" s="340"/>
      <c r="B92" s="340"/>
      <c r="C92" s="340"/>
      <c r="D92" s="340"/>
      <c r="E92" s="340"/>
      <c r="F92" s="340"/>
      <c r="G92" s="340"/>
      <c r="H92" s="340"/>
      <c r="I92" s="340"/>
      <c r="J92" s="340"/>
      <c r="K92" s="340"/>
      <c r="L92" s="340"/>
      <c r="M92" s="340"/>
      <c r="N92" s="340"/>
      <c r="O92" s="340"/>
      <c r="P92" s="340"/>
      <c r="Q92" s="340"/>
    </row>
    <row r="93" spans="1:17">
      <c r="A93" s="340"/>
      <c r="B93" s="340"/>
      <c r="C93" s="340"/>
      <c r="D93" s="340"/>
      <c r="E93" s="340"/>
      <c r="F93" s="340"/>
      <c r="G93" s="340"/>
      <c r="H93" s="340"/>
      <c r="I93" s="340"/>
      <c r="J93" s="340"/>
      <c r="K93" s="340"/>
      <c r="L93" s="340"/>
      <c r="M93" s="340"/>
      <c r="N93" s="340"/>
      <c r="O93" s="340"/>
      <c r="P93" s="340"/>
      <c r="Q93" s="340"/>
    </row>
    <row r="94" spans="1:17">
      <c r="A94" s="340"/>
      <c r="B94" s="340"/>
      <c r="C94" s="340"/>
      <c r="D94" s="340"/>
      <c r="E94" s="340"/>
      <c r="F94" s="340"/>
      <c r="G94" s="340"/>
      <c r="H94" s="340"/>
      <c r="I94" s="340"/>
      <c r="J94" s="340"/>
      <c r="K94" s="340"/>
      <c r="L94" s="340"/>
      <c r="M94" s="340"/>
      <c r="N94" s="340"/>
      <c r="O94" s="340"/>
      <c r="P94" s="340"/>
      <c r="Q94" s="340"/>
    </row>
    <row r="95" spans="1:17">
      <c r="A95" s="340"/>
      <c r="B95" s="340"/>
      <c r="C95" s="340"/>
      <c r="D95" s="340"/>
      <c r="E95" s="340"/>
      <c r="F95" s="340"/>
      <c r="G95" s="340"/>
      <c r="H95" s="340"/>
      <c r="I95" s="340"/>
      <c r="J95" s="340"/>
      <c r="K95" s="340"/>
      <c r="L95" s="340"/>
      <c r="M95" s="340"/>
      <c r="N95" s="340"/>
      <c r="O95" s="340"/>
      <c r="P95" s="340"/>
      <c r="Q95" s="340"/>
    </row>
    <row r="96" spans="1:17">
      <c r="A96" s="340"/>
      <c r="B96" s="340"/>
      <c r="C96" s="340"/>
      <c r="D96" s="340"/>
      <c r="E96" s="340"/>
      <c r="F96" s="340"/>
      <c r="G96" s="340"/>
      <c r="H96" s="340"/>
      <c r="I96" s="340"/>
      <c r="J96" s="340"/>
      <c r="K96" s="340"/>
      <c r="L96" s="340"/>
      <c r="M96" s="340"/>
      <c r="N96" s="340"/>
      <c r="O96" s="340"/>
      <c r="P96" s="340"/>
      <c r="Q96" s="340"/>
    </row>
    <row r="97" spans="1:17">
      <c r="A97" s="340"/>
      <c r="B97" s="340"/>
      <c r="C97" s="340"/>
      <c r="D97" s="340"/>
      <c r="E97" s="340"/>
      <c r="F97" s="340"/>
      <c r="G97" s="340"/>
      <c r="H97" s="340"/>
      <c r="I97" s="340"/>
      <c r="J97" s="340"/>
      <c r="K97" s="340"/>
      <c r="L97" s="340"/>
      <c r="M97" s="340"/>
      <c r="N97" s="340"/>
      <c r="O97" s="340"/>
      <c r="P97" s="340"/>
      <c r="Q97" s="340"/>
    </row>
    <row r="98" spans="1:17">
      <c r="A98" s="340"/>
      <c r="B98" s="340"/>
      <c r="C98" s="340"/>
      <c r="D98" s="340"/>
      <c r="E98" s="340"/>
      <c r="F98" s="340"/>
      <c r="G98" s="340"/>
      <c r="H98" s="340"/>
      <c r="I98" s="340"/>
      <c r="J98" s="340"/>
      <c r="K98" s="340"/>
      <c r="L98" s="340"/>
      <c r="M98" s="340"/>
      <c r="N98" s="340"/>
      <c r="O98" s="340"/>
      <c r="P98" s="340"/>
      <c r="Q98" s="340"/>
    </row>
    <row r="99" spans="1:17">
      <c r="A99" s="340"/>
      <c r="B99" s="340"/>
      <c r="C99" s="340"/>
      <c r="D99" s="340"/>
      <c r="E99" s="340"/>
      <c r="F99" s="340"/>
      <c r="G99" s="340"/>
      <c r="H99" s="340"/>
      <c r="I99" s="340"/>
      <c r="J99" s="340"/>
      <c r="K99" s="340"/>
      <c r="L99" s="340"/>
      <c r="M99" s="340"/>
      <c r="N99" s="340"/>
      <c r="O99" s="340"/>
      <c r="P99" s="340"/>
      <c r="Q99" s="340"/>
    </row>
    <row r="100" spans="1:17">
      <c r="A100" s="340"/>
      <c r="B100" s="340"/>
      <c r="C100" s="340"/>
      <c r="D100" s="340"/>
      <c r="E100" s="340"/>
      <c r="F100" s="340"/>
      <c r="G100" s="340"/>
      <c r="H100" s="340"/>
      <c r="I100" s="340"/>
      <c r="J100" s="340"/>
      <c r="K100" s="340"/>
      <c r="L100" s="340"/>
      <c r="M100" s="340"/>
      <c r="N100" s="340"/>
      <c r="O100" s="340"/>
      <c r="P100" s="340"/>
      <c r="Q100" s="340"/>
    </row>
    <row r="101" spans="1:17">
      <c r="A101" s="340"/>
      <c r="B101" s="340"/>
      <c r="C101" s="340"/>
      <c r="D101" s="340"/>
      <c r="E101" s="340"/>
      <c r="F101" s="340"/>
      <c r="G101" s="340"/>
      <c r="H101" s="340"/>
      <c r="I101" s="340"/>
      <c r="J101" s="340"/>
      <c r="K101" s="340"/>
      <c r="L101" s="340"/>
      <c r="M101" s="340"/>
      <c r="N101" s="340"/>
      <c r="O101" s="340"/>
      <c r="P101" s="340"/>
      <c r="Q101" s="340"/>
    </row>
    <row r="102" spans="1:17">
      <c r="A102" s="340"/>
      <c r="B102" s="340"/>
      <c r="C102" s="340"/>
      <c r="D102" s="340"/>
      <c r="E102" s="340"/>
      <c r="F102" s="340"/>
      <c r="G102" s="340"/>
      <c r="H102" s="340"/>
      <c r="I102" s="340"/>
      <c r="J102" s="340"/>
      <c r="K102" s="340"/>
      <c r="L102" s="340"/>
      <c r="M102" s="340"/>
      <c r="N102" s="340"/>
      <c r="O102" s="340"/>
      <c r="P102" s="340"/>
      <c r="Q102" s="340"/>
    </row>
    <row r="103" spans="1:17">
      <c r="A103" s="340"/>
      <c r="B103" s="340"/>
      <c r="C103" s="340"/>
      <c r="D103" s="340"/>
      <c r="E103" s="340"/>
      <c r="F103" s="340"/>
      <c r="G103" s="340"/>
      <c r="H103" s="340"/>
      <c r="I103" s="340"/>
      <c r="J103" s="340"/>
      <c r="K103" s="340"/>
      <c r="L103" s="340"/>
      <c r="M103" s="340"/>
      <c r="N103" s="340"/>
      <c r="O103" s="340"/>
      <c r="P103" s="340"/>
      <c r="Q103" s="340"/>
    </row>
    <row r="104" spans="1:17">
      <c r="A104" s="340"/>
      <c r="B104" s="340"/>
      <c r="C104" s="340"/>
      <c r="D104" s="340"/>
      <c r="E104" s="340"/>
      <c r="F104" s="340"/>
      <c r="G104" s="340"/>
      <c r="H104" s="340"/>
      <c r="I104" s="340"/>
      <c r="J104" s="340"/>
      <c r="K104" s="340"/>
      <c r="L104" s="340"/>
      <c r="M104" s="340"/>
      <c r="N104" s="340"/>
      <c r="O104" s="340"/>
      <c r="P104" s="340"/>
      <c r="Q104" s="340"/>
    </row>
    <row r="105" spans="1:17">
      <c r="A105" s="340"/>
      <c r="B105" s="340"/>
      <c r="C105" s="340"/>
      <c r="D105" s="340"/>
      <c r="E105" s="340"/>
      <c r="F105" s="340"/>
      <c r="G105" s="340"/>
      <c r="H105" s="340"/>
      <c r="I105" s="340"/>
      <c r="J105" s="340"/>
      <c r="K105" s="340"/>
      <c r="L105" s="340"/>
      <c r="M105" s="340"/>
      <c r="N105" s="340"/>
      <c r="O105" s="340"/>
      <c r="P105" s="340"/>
      <c r="Q105" s="340"/>
    </row>
    <row r="106" spans="1:17">
      <c r="A106" s="340"/>
      <c r="B106" s="340"/>
      <c r="C106" s="340"/>
      <c r="D106" s="340"/>
      <c r="E106" s="340"/>
      <c r="F106" s="340"/>
      <c r="G106" s="340"/>
      <c r="H106" s="340"/>
      <c r="I106" s="340"/>
      <c r="J106" s="340"/>
      <c r="K106" s="340"/>
      <c r="L106" s="340"/>
      <c r="M106" s="340"/>
      <c r="N106" s="340"/>
      <c r="O106" s="340"/>
      <c r="P106" s="340"/>
      <c r="Q106" s="340"/>
    </row>
    <row r="107" spans="1:17">
      <c r="A107" s="340"/>
      <c r="B107" s="340"/>
      <c r="C107" s="340"/>
      <c r="D107" s="340"/>
      <c r="E107" s="340"/>
      <c r="F107" s="340"/>
      <c r="G107" s="340"/>
      <c r="H107" s="340"/>
      <c r="I107" s="340"/>
      <c r="J107" s="340"/>
      <c r="K107" s="340"/>
      <c r="L107" s="340"/>
      <c r="M107" s="340"/>
      <c r="N107" s="340"/>
      <c r="O107" s="340"/>
      <c r="P107" s="340"/>
      <c r="Q107" s="340"/>
    </row>
    <row r="108" spans="1:17">
      <c r="A108" s="340"/>
      <c r="B108" s="340"/>
      <c r="C108" s="340"/>
      <c r="D108" s="340"/>
      <c r="E108" s="340"/>
      <c r="F108" s="340"/>
      <c r="G108" s="340"/>
      <c r="H108" s="340"/>
      <c r="I108" s="340"/>
      <c r="J108" s="340"/>
      <c r="K108" s="340"/>
      <c r="L108" s="340"/>
      <c r="M108" s="340"/>
      <c r="N108" s="340"/>
      <c r="O108" s="340"/>
      <c r="P108" s="340"/>
      <c r="Q108" s="340"/>
    </row>
    <row r="109" spans="1:17">
      <c r="A109" s="340"/>
      <c r="B109" s="340"/>
      <c r="C109" s="340"/>
      <c r="D109" s="340"/>
      <c r="E109" s="340"/>
      <c r="F109" s="340"/>
      <c r="G109" s="340"/>
      <c r="H109" s="340"/>
      <c r="I109" s="340"/>
      <c r="J109" s="340"/>
      <c r="K109" s="340"/>
      <c r="L109" s="340"/>
      <c r="M109" s="340"/>
      <c r="N109" s="340"/>
      <c r="O109" s="340"/>
      <c r="P109" s="340"/>
      <c r="Q109" s="340"/>
    </row>
    <row r="110" spans="1:17">
      <c r="A110" s="340"/>
      <c r="B110" s="340"/>
      <c r="C110" s="340"/>
      <c r="D110" s="340"/>
      <c r="E110" s="340"/>
      <c r="F110" s="340"/>
      <c r="G110" s="340"/>
      <c r="H110" s="340"/>
      <c r="I110" s="340"/>
      <c r="J110" s="340"/>
      <c r="K110" s="340"/>
      <c r="L110" s="340"/>
      <c r="M110" s="340"/>
      <c r="N110" s="340"/>
      <c r="O110" s="340"/>
      <c r="P110" s="340"/>
      <c r="Q110" s="340"/>
    </row>
    <row r="111" spans="1:17">
      <c r="A111" s="340"/>
      <c r="B111" s="340"/>
      <c r="C111" s="340"/>
      <c r="D111" s="340"/>
      <c r="E111" s="340"/>
      <c r="F111" s="340"/>
      <c r="G111" s="340"/>
      <c r="H111" s="340"/>
      <c r="I111" s="340"/>
      <c r="J111" s="340"/>
      <c r="K111" s="340"/>
      <c r="L111" s="340"/>
      <c r="M111" s="340"/>
      <c r="N111" s="340"/>
      <c r="O111" s="340"/>
      <c r="P111" s="340"/>
      <c r="Q111" s="340"/>
    </row>
    <row r="112" spans="1:17">
      <c r="A112" s="340"/>
      <c r="B112" s="340"/>
      <c r="C112" s="340"/>
      <c r="D112" s="340"/>
      <c r="E112" s="340"/>
      <c r="F112" s="340"/>
      <c r="G112" s="340"/>
      <c r="H112" s="340"/>
      <c r="I112" s="340"/>
      <c r="J112" s="340"/>
      <c r="K112" s="340"/>
      <c r="L112" s="340"/>
      <c r="M112" s="340"/>
      <c r="N112" s="340"/>
      <c r="O112" s="340"/>
      <c r="P112" s="340"/>
      <c r="Q112" s="340"/>
    </row>
    <row r="113" spans="1:17">
      <c r="A113" s="340"/>
      <c r="B113" s="340"/>
      <c r="C113" s="340"/>
      <c r="D113" s="340"/>
      <c r="E113" s="340"/>
      <c r="F113" s="340"/>
      <c r="G113" s="340"/>
      <c r="H113" s="340"/>
      <c r="I113" s="340"/>
      <c r="J113" s="340"/>
      <c r="K113" s="340"/>
      <c r="L113" s="340"/>
      <c r="M113" s="340"/>
      <c r="N113" s="340"/>
      <c r="O113" s="340"/>
      <c r="P113" s="340"/>
      <c r="Q113" s="340"/>
    </row>
    <row r="114" spans="1:17">
      <c r="A114" s="340"/>
      <c r="B114" s="340"/>
      <c r="C114" s="340"/>
      <c r="D114" s="340"/>
      <c r="E114" s="340"/>
      <c r="F114" s="340"/>
      <c r="G114" s="340"/>
      <c r="H114" s="340"/>
      <c r="I114" s="340"/>
      <c r="J114" s="340"/>
      <c r="K114" s="340"/>
      <c r="L114" s="340"/>
      <c r="M114" s="340"/>
      <c r="N114" s="340"/>
      <c r="O114" s="340"/>
      <c r="P114" s="340"/>
      <c r="Q114" s="340"/>
    </row>
    <row r="115" spans="1:17">
      <c r="A115" s="340"/>
      <c r="B115" s="340"/>
      <c r="C115" s="340"/>
      <c r="D115" s="340"/>
      <c r="E115" s="340"/>
      <c r="F115" s="340"/>
      <c r="G115" s="340"/>
      <c r="H115" s="340"/>
      <c r="I115" s="340"/>
      <c r="J115" s="340"/>
      <c r="K115" s="340"/>
      <c r="L115" s="340"/>
      <c r="M115" s="340"/>
      <c r="N115" s="340"/>
      <c r="O115" s="340"/>
      <c r="P115" s="340"/>
      <c r="Q115" s="340"/>
    </row>
    <row r="116" spans="1:17">
      <c r="A116" s="340"/>
      <c r="B116" s="340"/>
      <c r="C116" s="340"/>
      <c r="D116" s="340"/>
      <c r="E116" s="340"/>
      <c r="F116" s="340"/>
      <c r="G116" s="340"/>
      <c r="H116" s="340"/>
      <c r="I116" s="340"/>
      <c r="J116" s="340"/>
      <c r="K116" s="340"/>
      <c r="L116" s="340"/>
      <c r="M116" s="340"/>
      <c r="N116" s="340"/>
      <c r="O116" s="340"/>
      <c r="P116" s="340"/>
      <c r="Q116" s="340"/>
    </row>
    <row r="117" spans="1:17">
      <c r="A117" s="340"/>
      <c r="B117" s="340"/>
      <c r="C117" s="340"/>
      <c r="D117" s="340"/>
      <c r="E117" s="340"/>
      <c r="F117" s="340"/>
      <c r="G117" s="340"/>
      <c r="H117" s="340"/>
      <c r="I117" s="340"/>
      <c r="J117" s="340"/>
      <c r="K117" s="340"/>
      <c r="L117" s="340"/>
      <c r="M117" s="340"/>
      <c r="N117" s="340"/>
      <c r="O117" s="340"/>
      <c r="P117" s="340"/>
      <c r="Q117" s="340"/>
    </row>
    <row r="118" spans="1:17">
      <c r="A118" s="340"/>
      <c r="B118" s="340"/>
      <c r="C118" s="340"/>
      <c r="D118" s="340"/>
      <c r="E118" s="340"/>
      <c r="F118" s="340"/>
      <c r="G118" s="340"/>
      <c r="H118" s="340"/>
      <c r="I118" s="340"/>
      <c r="J118" s="340"/>
      <c r="K118" s="340"/>
      <c r="L118" s="340"/>
      <c r="M118" s="340"/>
      <c r="N118" s="340"/>
      <c r="O118" s="340"/>
      <c r="P118" s="340"/>
      <c r="Q118" s="340"/>
    </row>
    <row r="119" spans="1:17">
      <c r="A119" s="340"/>
      <c r="B119" s="340"/>
      <c r="C119" s="340"/>
      <c r="D119" s="340"/>
      <c r="E119" s="340"/>
      <c r="F119" s="340"/>
      <c r="G119" s="340"/>
      <c r="H119" s="340"/>
      <c r="I119" s="340"/>
      <c r="J119" s="340"/>
      <c r="K119" s="340"/>
      <c r="L119" s="340"/>
      <c r="M119" s="340"/>
      <c r="N119" s="340"/>
      <c r="O119" s="340"/>
      <c r="P119" s="340"/>
      <c r="Q119" s="340"/>
    </row>
    <row r="120" spans="1:17">
      <c r="A120" s="340"/>
      <c r="B120" s="340"/>
      <c r="C120" s="340"/>
      <c r="D120" s="340"/>
      <c r="E120" s="340"/>
      <c r="F120" s="340"/>
      <c r="G120" s="340"/>
      <c r="H120" s="340"/>
      <c r="I120" s="340"/>
      <c r="J120" s="340"/>
      <c r="K120" s="340"/>
      <c r="L120" s="340"/>
      <c r="M120" s="340"/>
      <c r="N120" s="340"/>
      <c r="O120" s="340"/>
      <c r="P120" s="340"/>
      <c r="Q120" s="340"/>
    </row>
    <row r="121" spans="1:17">
      <c r="A121" s="340"/>
      <c r="B121" s="340"/>
      <c r="C121" s="340"/>
      <c r="D121" s="340"/>
      <c r="E121" s="340"/>
      <c r="F121" s="340"/>
      <c r="G121" s="340"/>
      <c r="H121" s="340"/>
      <c r="I121" s="340"/>
      <c r="J121" s="340"/>
      <c r="K121" s="340"/>
      <c r="L121" s="340"/>
      <c r="M121" s="340"/>
      <c r="N121" s="340"/>
      <c r="O121" s="340"/>
      <c r="P121" s="340"/>
      <c r="Q121" s="340"/>
    </row>
    <row r="122" spans="1:17">
      <c r="A122" s="340"/>
      <c r="B122" s="340"/>
      <c r="C122" s="340"/>
      <c r="D122" s="340"/>
      <c r="E122" s="340"/>
      <c r="F122" s="340"/>
      <c r="G122" s="340"/>
      <c r="H122" s="340"/>
      <c r="I122" s="340"/>
      <c r="J122" s="340"/>
      <c r="K122" s="340"/>
      <c r="L122" s="340"/>
      <c r="M122" s="340"/>
      <c r="N122" s="340"/>
      <c r="O122" s="340"/>
      <c r="P122" s="340"/>
      <c r="Q122" s="340"/>
    </row>
    <row r="123" spans="1:17">
      <c r="A123" s="340"/>
      <c r="B123" s="340"/>
      <c r="C123" s="340"/>
      <c r="D123" s="340"/>
      <c r="E123" s="340"/>
      <c r="F123" s="340"/>
      <c r="G123" s="340"/>
      <c r="H123" s="340"/>
      <c r="I123" s="340"/>
      <c r="J123" s="340"/>
      <c r="K123" s="340"/>
      <c r="L123" s="340"/>
      <c r="M123" s="340"/>
      <c r="N123" s="340"/>
      <c r="O123" s="340"/>
      <c r="P123" s="340"/>
      <c r="Q123" s="340"/>
    </row>
    <row r="124" spans="1:17">
      <c r="A124" s="340"/>
      <c r="B124" s="340"/>
      <c r="C124" s="340"/>
      <c r="D124" s="340"/>
      <c r="E124" s="340"/>
      <c r="F124" s="340"/>
      <c r="G124" s="340"/>
      <c r="H124" s="340"/>
      <c r="I124" s="340"/>
      <c r="J124" s="340"/>
      <c r="K124" s="340"/>
      <c r="L124" s="340"/>
      <c r="M124" s="340"/>
      <c r="N124" s="340"/>
      <c r="O124" s="340"/>
      <c r="P124" s="340"/>
      <c r="Q124" s="340"/>
    </row>
    <row r="125" spans="1:17">
      <c r="A125" s="340"/>
      <c r="B125" s="340"/>
      <c r="C125" s="340"/>
      <c r="D125" s="340"/>
      <c r="E125" s="340"/>
      <c r="F125" s="340"/>
      <c r="G125" s="340"/>
      <c r="H125" s="340"/>
      <c r="I125" s="340"/>
      <c r="J125" s="340"/>
      <c r="K125" s="340"/>
      <c r="L125" s="340"/>
      <c r="M125" s="340"/>
      <c r="N125" s="340"/>
      <c r="O125" s="340"/>
      <c r="P125" s="340"/>
      <c r="Q125" s="340"/>
    </row>
    <row r="126" spans="1:17">
      <c r="A126" s="340"/>
      <c r="B126" s="340"/>
      <c r="C126" s="340"/>
      <c r="D126" s="340"/>
      <c r="E126" s="340"/>
      <c r="F126" s="340"/>
      <c r="G126" s="340"/>
      <c r="H126" s="340"/>
      <c r="I126" s="340"/>
      <c r="J126" s="340"/>
      <c r="K126" s="340"/>
      <c r="L126" s="340"/>
      <c r="M126" s="340"/>
      <c r="N126" s="340"/>
      <c r="O126" s="340"/>
      <c r="P126" s="340"/>
      <c r="Q126" s="340"/>
    </row>
    <row r="127" spans="1:17">
      <c r="A127" s="340"/>
      <c r="B127" s="340"/>
      <c r="C127" s="340"/>
      <c r="D127" s="340"/>
      <c r="E127" s="340"/>
      <c r="F127" s="340"/>
      <c r="G127" s="340"/>
      <c r="H127" s="340"/>
      <c r="I127" s="340"/>
      <c r="J127" s="340"/>
      <c r="K127" s="340"/>
      <c r="L127" s="340"/>
      <c r="M127" s="340"/>
      <c r="N127" s="340"/>
      <c r="O127" s="340"/>
      <c r="P127" s="340"/>
      <c r="Q127" s="340"/>
    </row>
    <row r="128" spans="1:17">
      <c r="A128" s="340"/>
      <c r="B128" s="340"/>
      <c r="C128" s="340"/>
      <c r="D128" s="340"/>
      <c r="E128" s="340"/>
      <c r="F128" s="340"/>
      <c r="G128" s="340"/>
      <c r="H128" s="340"/>
      <c r="I128" s="340"/>
      <c r="J128" s="340"/>
      <c r="K128" s="340"/>
      <c r="L128" s="340"/>
      <c r="M128" s="340"/>
      <c r="N128" s="340"/>
      <c r="O128" s="340"/>
      <c r="P128" s="340"/>
      <c r="Q128" s="340"/>
    </row>
    <row r="129" spans="1:17">
      <c r="A129" s="340"/>
      <c r="B129" s="340"/>
      <c r="C129" s="340"/>
      <c r="D129" s="340"/>
      <c r="E129" s="340"/>
      <c r="F129" s="340"/>
      <c r="G129" s="340"/>
      <c r="H129" s="340"/>
      <c r="I129" s="340"/>
      <c r="J129" s="340"/>
      <c r="K129" s="340"/>
      <c r="L129" s="340"/>
      <c r="M129" s="340"/>
      <c r="N129" s="340"/>
      <c r="O129" s="340"/>
      <c r="P129" s="340"/>
      <c r="Q129" s="340"/>
    </row>
    <row r="130" spans="1:17">
      <c r="A130" s="340"/>
      <c r="B130" s="340"/>
      <c r="C130" s="340"/>
      <c r="D130" s="340"/>
      <c r="E130" s="340"/>
      <c r="F130" s="340"/>
      <c r="G130" s="340"/>
      <c r="H130" s="340"/>
      <c r="I130" s="340"/>
      <c r="J130" s="340"/>
      <c r="K130" s="340"/>
      <c r="L130" s="340"/>
      <c r="M130" s="340"/>
      <c r="N130" s="340"/>
      <c r="O130" s="340"/>
      <c r="P130" s="340"/>
      <c r="Q130" s="340"/>
    </row>
    <row r="131" spans="1:17">
      <c r="A131" s="340"/>
      <c r="B131" s="340"/>
      <c r="C131" s="340"/>
      <c r="D131" s="340"/>
      <c r="E131" s="340"/>
      <c r="F131" s="340"/>
      <c r="G131" s="340"/>
      <c r="H131" s="340"/>
      <c r="I131" s="340"/>
      <c r="J131" s="340"/>
      <c r="K131" s="340"/>
      <c r="L131" s="340"/>
      <c r="M131" s="340"/>
      <c r="N131" s="340"/>
      <c r="O131" s="340"/>
      <c r="P131" s="340"/>
      <c r="Q131" s="340"/>
    </row>
    <row r="132" spans="1:17">
      <c r="A132" s="340"/>
      <c r="B132" s="340"/>
      <c r="C132" s="340"/>
      <c r="D132" s="340"/>
      <c r="E132" s="340"/>
      <c r="F132" s="340"/>
      <c r="G132" s="340"/>
      <c r="H132" s="340"/>
      <c r="I132" s="340"/>
      <c r="J132" s="340"/>
      <c r="K132" s="340"/>
      <c r="L132" s="340"/>
      <c r="M132" s="340"/>
      <c r="N132" s="340"/>
      <c r="O132" s="340"/>
      <c r="P132" s="340"/>
      <c r="Q132" s="340"/>
    </row>
    <row r="133" spans="1:17">
      <c r="A133" s="340"/>
      <c r="B133" s="340"/>
      <c r="C133" s="340"/>
      <c r="D133" s="340"/>
      <c r="E133" s="340"/>
      <c r="F133" s="340"/>
      <c r="G133" s="340"/>
      <c r="H133" s="340"/>
      <c r="I133" s="340"/>
      <c r="J133" s="340"/>
      <c r="K133" s="340"/>
      <c r="L133" s="340"/>
      <c r="M133" s="340"/>
      <c r="N133" s="340"/>
      <c r="O133" s="340"/>
      <c r="P133" s="340"/>
      <c r="Q133" s="340"/>
    </row>
    <row r="134" spans="1:17">
      <c r="A134" s="340"/>
      <c r="B134" s="340"/>
      <c r="C134" s="340"/>
      <c r="D134" s="340"/>
      <c r="E134" s="340"/>
      <c r="F134" s="340"/>
      <c r="G134" s="340"/>
      <c r="H134" s="340"/>
      <c r="I134" s="340"/>
      <c r="J134" s="340"/>
      <c r="K134" s="340"/>
      <c r="L134" s="340"/>
      <c r="M134" s="340"/>
      <c r="N134" s="340"/>
      <c r="O134" s="340"/>
      <c r="P134" s="340"/>
      <c r="Q134" s="340"/>
    </row>
  </sheetData>
  <customSheetViews>
    <customSheetView guid="{8FDDB7D7-275F-4F23-B770-BAF5AFA4F358}" hiddenColumns="1">
      <pane xSplit="2" ySplit="1" topLeftCell="C2" activePane="bottomRight" state="frozen"/>
      <selection pane="bottomRight" activeCell="C2" sqref="C2"/>
      <pageMargins left="0.7" right="0.7" top="0.75" bottom="0.75" header="0.3" footer="0.3"/>
      <pageSetup paperSize="9" orientation="portrait" r:id="rId1"/>
    </customSheetView>
    <customSheetView guid="{12F8D032-8143-430B-8DFF-852E8796C402}" hiddenColumns="1">
      <selection activeCell="V9" sqref="V9:V10"/>
      <pageMargins left="0.7" right="0.7" top="0.75" bottom="0.75" header="0.3" footer="0.3"/>
      <pageSetup paperSize="9" orientation="portrait" r:id="rId2"/>
    </customSheetView>
    <customSheetView guid="{687A4863-1825-4D63-B732-E76682E6DE4F}" hiddenColumns="1">
      <selection activeCell="V9" sqref="V9:V10"/>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8DA78CF1-615A-4626-9893-6751995631A4}" hiddenColumns="1" topLeftCell="A16">
      <selection activeCell="V9" sqref="V9:V10"/>
      <pageMargins left="0.7" right="0.7" top="0.75" bottom="0.75" header="0.3" footer="0.3"/>
      <pageSetup paperSize="9" orientation="portrait" r:id="rId5"/>
    </customSheetView>
    <customSheetView guid="{25FAB884-5E17-4008-8139-33D910C7DEFE}">
      <selection activeCell="B1" sqref="B1:P1048576"/>
      <pageMargins left="0.7" right="0.7" top="0.75" bottom="0.75" header="0.3" footer="0.3"/>
      <pageSetup paperSize="9" orientation="portrait" r:id="rId6"/>
    </customSheetView>
    <customSheetView guid="{899D69CD-4B7E-42BC-9944-5BD922EB798C}" topLeftCell="A22">
      <selection activeCell="A23" sqref="A23"/>
      <pageMargins left="0.7" right="0.7" top="0.75" bottom="0.75" header="0.3" footer="0.3"/>
      <pageSetup paperSize="9" orientation="portrait" r:id="rId7"/>
    </customSheetView>
    <customSheetView guid="{9AF4A83C-CF57-4B40-8A74-6A0EA6C2FE5C}" hiddenColumns="1" topLeftCell="B1">
      <selection activeCell="S12" sqref="S12"/>
      <pageMargins left="0.7" right="0.7" top="0.75" bottom="0.75" header="0.3" footer="0.3"/>
      <pageSetup paperSize="9" orientation="portrait" r:id="rId8"/>
    </customSheetView>
    <customSheetView guid="{746490BF-9C44-4B41-8803-BEC9E453576A}" hiddenColumns="1">
      <pane xSplit="2" ySplit="1" topLeftCell="C2" activePane="bottomRight" state="frozen"/>
      <selection pane="bottomRight" activeCell="C2" sqref="C2"/>
      <pageMargins left="0.7" right="0.7" top="0.75" bottom="0.75" header="0.3" footer="0.3"/>
      <pageSetup paperSize="9" orientation="portrait" r:id="rId9"/>
    </customSheetView>
  </customSheetViews>
  <pageMargins left="0.7" right="0.7" top="0.75" bottom="0.75" header="0.3" footer="0.3"/>
  <pageSetup paperSize="9" orientation="portrait" r:id="rId10"/>
  <ignoredErrors>
    <ignoredError sqref="L27 I27:K27 E27:F27 C27:D27 M27:P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6"/>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1" width="39.140625" style="19" customWidth="1"/>
    <col min="2" max="2" width="40.5703125" style="19" customWidth="1"/>
    <col min="3" max="13" width="13.42578125" style="19" customWidth="1"/>
    <col min="14" max="17" width="13.42578125" style="90" customWidth="1"/>
    <col min="18" max="16384" width="9.140625" style="19"/>
  </cols>
  <sheetData>
    <row r="2" spans="1:17"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623</v>
      </c>
      <c r="N2" s="40" t="s">
        <v>632</v>
      </c>
      <c r="O2" s="40" t="s">
        <v>670</v>
      </c>
      <c r="P2" s="40" t="s">
        <v>674</v>
      </c>
      <c r="Q2" s="40" t="s">
        <v>685</v>
      </c>
    </row>
    <row r="3" spans="1:17"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row>
    <row r="4" spans="1:17" ht="15" customHeight="1">
      <c r="A4" s="33" t="s">
        <v>282</v>
      </c>
      <c r="B4" s="33" t="s">
        <v>311</v>
      </c>
      <c r="C4" s="42">
        <v>433</v>
      </c>
      <c r="D4" s="42">
        <v>0</v>
      </c>
      <c r="E4" s="42">
        <v>0</v>
      </c>
      <c r="F4" s="42">
        <v>0</v>
      </c>
      <c r="G4" s="42">
        <v>0</v>
      </c>
      <c r="H4" s="42">
        <v>0</v>
      </c>
      <c r="I4" s="42">
        <v>0</v>
      </c>
      <c r="J4" s="42">
        <v>0</v>
      </c>
      <c r="K4" s="42">
        <v>0</v>
      </c>
      <c r="L4" s="42">
        <v>0</v>
      </c>
      <c r="M4" s="42">
        <v>0</v>
      </c>
      <c r="N4" s="42">
        <v>0</v>
      </c>
      <c r="O4" s="42">
        <v>0</v>
      </c>
      <c r="P4" s="42">
        <v>0</v>
      </c>
      <c r="Q4" s="42">
        <v>0</v>
      </c>
    </row>
    <row r="5" spans="1:17"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row>
    <row r="6" spans="1:17" s="90" customFormat="1" ht="30" customHeight="1">
      <c r="A6" s="33" t="s">
        <v>627</v>
      </c>
      <c r="B6" s="33" t="s">
        <v>628</v>
      </c>
      <c r="C6" s="42">
        <v>0</v>
      </c>
      <c r="D6" s="42">
        <v>0</v>
      </c>
      <c r="E6" s="42">
        <v>0</v>
      </c>
      <c r="F6" s="42">
        <v>0</v>
      </c>
      <c r="G6" s="42">
        <v>0</v>
      </c>
      <c r="H6" s="42">
        <v>0</v>
      </c>
      <c r="I6" s="42">
        <v>0</v>
      </c>
      <c r="J6" s="42">
        <v>0</v>
      </c>
      <c r="K6" s="42">
        <v>0</v>
      </c>
      <c r="L6" s="42">
        <v>0</v>
      </c>
      <c r="M6" s="42">
        <v>50000</v>
      </c>
      <c r="N6" s="42">
        <v>9079</v>
      </c>
      <c r="O6" s="42">
        <v>0</v>
      </c>
      <c r="P6" s="42">
        <v>0</v>
      </c>
      <c r="Q6" s="42">
        <v>0</v>
      </c>
    </row>
    <row r="7" spans="1:17"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c r="P7" s="42">
        <v>727</v>
      </c>
      <c r="Q7" s="42">
        <v>848</v>
      </c>
    </row>
    <row r="8" spans="1:17"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c r="P8" s="42">
        <v>106</v>
      </c>
      <c r="Q8" s="42">
        <v>21</v>
      </c>
    </row>
    <row r="9" spans="1:17"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c r="P9" s="42">
        <v>1093</v>
      </c>
      <c r="Q9" s="42">
        <v>5535</v>
      </c>
    </row>
    <row r="10" spans="1:17"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c r="P10" s="42">
        <v>151</v>
      </c>
      <c r="Q10" s="42">
        <v>230</v>
      </c>
    </row>
    <row r="11" spans="1:17" ht="15" customHeight="1">
      <c r="A11" s="33" t="s">
        <v>274</v>
      </c>
      <c r="B11" s="33" t="s">
        <v>299</v>
      </c>
      <c r="C11" s="42">
        <v>24131</v>
      </c>
      <c r="D11" s="42">
        <v>31</v>
      </c>
      <c r="E11" s="42">
        <v>73</v>
      </c>
      <c r="F11" s="42">
        <v>3</v>
      </c>
      <c r="G11" s="42">
        <v>0</v>
      </c>
      <c r="H11" s="42">
        <v>0</v>
      </c>
      <c r="I11" s="42">
        <v>0</v>
      </c>
      <c r="J11" s="42">
        <v>0</v>
      </c>
      <c r="K11" s="267">
        <v>0</v>
      </c>
      <c r="L11" s="267">
        <v>3</v>
      </c>
      <c r="M11" s="267">
        <v>9962</v>
      </c>
      <c r="N11" s="42">
        <v>3073</v>
      </c>
      <c r="O11" s="42">
        <v>1055</v>
      </c>
      <c r="P11" s="42">
        <v>3677</v>
      </c>
      <c r="Q11" s="42">
        <v>2225</v>
      </c>
    </row>
    <row r="12" spans="1:17" ht="15" customHeight="1">
      <c r="A12" s="34" t="s">
        <v>275</v>
      </c>
      <c r="B12" s="34" t="s">
        <v>300</v>
      </c>
      <c r="C12" s="42">
        <v>9934</v>
      </c>
      <c r="D12" s="42">
        <v>11459</v>
      </c>
      <c r="E12" s="42">
        <v>8799</v>
      </c>
      <c r="F12" s="42">
        <v>10403</v>
      </c>
      <c r="G12" s="42">
        <v>15451</v>
      </c>
      <c r="H12" s="42">
        <v>18557</v>
      </c>
      <c r="I12" s="42">
        <v>9144</v>
      </c>
      <c r="J12" s="42">
        <v>9304</v>
      </c>
      <c r="K12" s="266">
        <v>13109</v>
      </c>
      <c r="L12" s="266">
        <v>14664</v>
      </c>
      <c r="M12" s="266">
        <v>11241</v>
      </c>
      <c r="N12" s="42">
        <v>18063</v>
      </c>
      <c r="O12" s="42">
        <v>15778</v>
      </c>
      <c r="P12" s="42">
        <v>11378</v>
      </c>
      <c r="Q12" s="42">
        <v>21313</v>
      </c>
    </row>
    <row r="13" spans="1:17"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100791</v>
      </c>
      <c r="N13" s="43">
        <f>SUM(N3:N12)</f>
        <v>69832</v>
      </c>
      <c r="O13" s="43">
        <f>SUM(O3:O12)</f>
        <v>40816</v>
      </c>
      <c r="P13" s="43">
        <f>SUM(P3:P12)</f>
        <v>25724</v>
      </c>
      <c r="Q13" s="43">
        <f>SUM(Q3:Q12)</f>
        <v>40773</v>
      </c>
    </row>
    <row r="14" spans="1:17">
      <c r="A14" s="244"/>
      <c r="B14" s="244"/>
      <c r="C14" s="290"/>
      <c r="D14" s="290"/>
      <c r="E14" s="290"/>
      <c r="F14" s="290"/>
      <c r="G14" s="290"/>
      <c r="H14" s="290"/>
      <c r="I14" s="90"/>
      <c r="J14" s="90"/>
      <c r="K14" s="90"/>
      <c r="L14" s="90"/>
      <c r="M14" s="90"/>
    </row>
    <row r="15" spans="1:17">
      <c r="A15" s="244"/>
      <c r="B15" s="244"/>
      <c r="C15" s="244"/>
      <c r="D15" s="244"/>
      <c r="E15" s="244"/>
      <c r="F15" s="244"/>
      <c r="G15" s="286"/>
      <c r="H15" s="286"/>
      <c r="I15" s="244"/>
      <c r="J15" s="244"/>
      <c r="K15" s="276"/>
      <c r="L15" s="276"/>
    </row>
    <row r="16" spans="1:17">
      <c r="A16" s="244"/>
      <c r="B16" s="244"/>
      <c r="C16" s="244"/>
      <c r="D16" s="244"/>
      <c r="E16" s="244"/>
      <c r="F16" s="244"/>
      <c r="G16" s="286"/>
      <c r="H16" s="286"/>
      <c r="I16" s="244"/>
      <c r="J16" s="244"/>
      <c r="K16" s="275"/>
      <c r="L16" s="275"/>
    </row>
    <row r="17" spans="1:13">
      <c r="A17" s="244"/>
      <c r="B17" s="244"/>
      <c r="C17" s="244"/>
      <c r="D17" s="244"/>
      <c r="E17" s="244"/>
      <c r="F17" s="244"/>
      <c r="G17" s="289"/>
      <c r="H17" s="286"/>
      <c r="I17" s="244"/>
      <c r="J17" s="244"/>
      <c r="K17" s="244"/>
      <c r="L17" s="244"/>
    </row>
    <row r="18" spans="1:13">
      <c r="G18" s="289"/>
      <c r="H18" s="286"/>
      <c r="M18" s="274"/>
    </row>
    <row r="19" spans="1:13">
      <c r="G19" s="289"/>
      <c r="H19" s="286"/>
    </row>
    <row r="20" spans="1:13">
      <c r="G20" s="289"/>
      <c r="H20" s="286"/>
    </row>
    <row r="21" spans="1:13">
      <c r="G21" s="289"/>
      <c r="H21" s="286"/>
    </row>
    <row r="22" spans="1:13">
      <c r="G22" s="289"/>
      <c r="H22" s="286"/>
    </row>
    <row r="23" spans="1:13">
      <c r="G23" s="289"/>
      <c r="H23" s="286"/>
    </row>
    <row r="24" spans="1:13">
      <c r="G24" s="289"/>
      <c r="H24" s="286"/>
    </row>
    <row r="25" spans="1:13">
      <c r="G25" s="289"/>
      <c r="H25" s="286"/>
    </row>
    <row r="26" spans="1:13">
      <c r="G26" s="289"/>
      <c r="H26" s="286"/>
    </row>
    <row r="27" spans="1:13">
      <c r="G27" s="286"/>
      <c r="H27" s="286"/>
    </row>
    <row r="28" spans="1:13">
      <c r="G28" s="286"/>
      <c r="H28" s="286"/>
    </row>
    <row r="29" spans="1:13">
      <c r="G29" s="286"/>
      <c r="H29" s="286"/>
    </row>
    <row r="30" spans="1:13">
      <c r="G30" s="286"/>
      <c r="H30" s="286"/>
    </row>
    <row r="31" spans="1:13">
      <c r="G31" s="286"/>
      <c r="H31" s="286"/>
    </row>
    <row r="32" spans="1:13">
      <c r="G32" s="286"/>
      <c r="H32" s="286"/>
    </row>
    <row r="33" spans="7:8">
      <c r="G33" s="286"/>
      <c r="H33" s="286"/>
    </row>
    <row r="34" spans="7:8">
      <c r="G34" s="286"/>
      <c r="H34" s="286"/>
    </row>
    <row r="35" spans="7:8">
      <c r="G35" s="286"/>
      <c r="H35" s="286"/>
    </row>
    <row r="36" spans="7:8">
      <c r="G36" s="286"/>
      <c r="H36" s="286"/>
    </row>
  </sheetData>
  <customSheetViews>
    <customSheetView guid="{8FDDB7D7-275F-4F23-B770-BAF5AFA4F358}" showGridLines="0">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12F8D032-8143-430B-8DFF-852E8796C402}" showGridLines="0">
      <selection activeCell="A34" sqref="A34"/>
      <pageMargins left="0.7" right="0.7" top="0.75" bottom="0.75" header="0.3" footer="0.3"/>
      <pageSetup paperSize="9" orientation="portrait" horizontalDpi="1200" verticalDpi="1200" r:id="rId2"/>
    </customSheetView>
    <customSheetView guid="{687A4863-1825-4D63-B732-E76682E6DE4F}" showGridLines="0" topLeftCell="F2">
      <selection activeCell="P15" sqref="P15"/>
      <pageMargins left="0.7" right="0.7" top="0.75" bottom="0.75" header="0.3" footer="0.3"/>
      <pageSetup paperSize="9" orientation="portrait" horizontalDpi="1200" verticalDpi="1200" r:id="rId3"/>
    </customSheetView>
    <customSheetView guid="{57267270-6A97-4850-9DB6-FE6B399379AA}" scale="110">
      <selection activeCell="H12" sqref="H12"/>
      <pageMargins left="0.7" right="0.7" top="0.75" bottom="0.75" header="0.3" footer="0.3"/>
    </customSheetView>
    <customSheetView guid="{8DA78CF1-615A-4626-9893-6751995631A4}" showGridLines="0" topLeftCell="J1">
      <selection activeCell="Q19" sqref="Q19"/>
      <pageMargins left="0.7" right="0.7" top="0.75" bottom="0.75" header="0.3" footer="0.3"/>
      <pageSetup paperSize="9" orientation="portrait" horizontalDpi="1200" verticalDpi="1200" r:id="rId4"/>
    </customSheetView>
    <customSheetView guid="{25FAB884-5E17-4008-8139-33D910C7DEFE}">
      <selection activeCell="R22" sqref="R22"/>
      <pageMargins left="0.7" right="0.7" top="0.75" bottom="0.75" header="0.3" footer="0.3"/>
      <pageSetup paperSize="9" orientation="portrait" horizontalDpi="1200" verticalDpi="1200" r:id="rId5"/>
    </customSheetView>
    <customSheetView guid="{899D69CD-4B7E-42BC-9944-5BD922EB798C}">
      <selection activeCell="B21" sqref="B21"/>
      <pageMargins left="0.7" right="0.7" top="0.75" bottom="0.75" header="0.3" footer="0.3"/>
      <pageSetup paperSize="9" orientation="portrait" horizontalDpi="1200" verticalDpi="1200" r:id="rId6"/>
    </customSheetView>
    <customSheetView guid="{9AF4A83C-CF57-4B40-8A74-6A0EA6C2FE5C}" topLeftCell="C1">
      <selection activeCell="R20" sqref="R20"/>
      <pageMargins left="0.7" right="0.7" top="0.75" bottom="0.75" header="0.3" footer="0.3"/>
    </customSheetView>
    <customSheetView guid="{746490BF-9C44-4B41-8803-BEC9E453576A}" showGridLines="0">
      <pane xSplit="2" ySplit="2" topLeftCell="C3" activePane="bottomRight" state="frozen"/>
      <selection pane="bottomRight" activeCell="C3" sqref="C3"/>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2" width="46.5703125" style="20" customWidth="1"/>
    <col min="3" max="13" width="15.85546875" style="19" customWidth="1"/>
    <col min="14" max="17" width="15.85546875" style="90" customWidth="1"/>
    <col min="18" max="16384" width="9.140625" style="19"/>
  </cols>
  <sheetData>
    <row r="1" spans="1:17">
      <c r="M1" s="274"/>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623</v>
      </c>
      <c r="N2" s="36" t="s">
        <v>632</v>
      </c>
      <c r="O2" s="36" t="s">
        <v>670</v>
      </c>
      <c r="P2" s="36" t="s">
        <v>674</v>
      </c>
      <c r="Q2" s="36" t="s">
        <v>685</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row>
    <row r="4" spans="1:17" s="90" customFormat="1">
      <c r="A4" s="161" t="s">
        <v>647</v>
      </c>
      <c r="B4" s="161" t="s">
        <v>648</v>
      </c>
      <c r="C4" s="38">
        <v>0</v>
      </c>
      <c r="D4" s="38">
        <v>0</v>
      </c>
      <c r="E4" s="38">
        <v>0</v>
      </c>
      <c r="F4" s="38">
        <v>0</v>
      </c>
      <c r="G4" s="38">
        <v>0</v>
      </c>
      <c r="H4" s="38">
        <v>0</v>
      </c>
      <c r="I4" s="38">
        <v>0</v>
      </c>
      <c r="J4" s="38">
        <v>0</v>
      </c>
      <c r="K4" s="38">
        <v>0</v>
      </c>
      <c r="L4" s="38">
        <v>0</v>
      </c>
      <c r="M4" s="38">
        <v>-9954</v>
      </c>
      <c r="N4" s="38">
        <v>-256674</v>
      </c>
      <c r="O4" s="38">
        <v>-47105</v>
      </c>
      <c r="P4" s="38">
        <v>-63228</v>
      </c>
      <c r="Q4" s="38">
        <v>0</v>
      </c>
    </row>
    <row r="5" spans="1:17" ht="38.25">
      <c r="A5" s="33" t="s">
        <v>618</v>
      </c>
      <c r="B5" s="33" t="s">
        <v>619</v>
      </c>
      <c r="C5" s="38">
        <v>0</v>
      </c>
      <c r="D5" s="38">
        <v>0</v>
      </c>
      <c r="E5" s="38">
        <v>0</v>
      </c>
      <c r="F5" s="38">
        <v>-8397</v>
      </c>
      <c r="G5" s="38">
        <v>0</v>
      </c>
      <c r="H5" s="38">
        <v>0</v>
      </c>
      <c r="I5" s="38">
        <v>0</v>
      </c>
      <c r="J5" s="38">
        <v>-13054</v>
      </c>
      <c r="K5" s="38">
        <v>0</v>
      </c>
      <c r="L5" s="38">
        <v>-17460</v>
      </c>
      <c r="M5" s="38">
        <v>-1097</v>
      </c>
      <c r="N5" s="38">
        <v>-15578</v>
      </c>
      <c r="O5" s="38">
        <v>-8687</v>
      </c>
      <c r="P5" s="38">
        <v>-23978</v>
      </c>
      <c r="Q5" s="38">
        <v>-3925</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c r="P7" s="38">
        <v>-432</v>
      </c>
      <c r="Q7" s="38">
        <v>-275</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c r="P10" s="38">
        <v>0</v>
      </c>
      <c r="Q10" s="38">
        <v>-9</v>
      </c>
    </row>
    <row r="11" spans="1:17" ht="15" customHeight="1">
      <c r="A11" s="34" t="s">
        <v>275</v>
      </c>
      <c r="B11" s="34" t="s">
        <v>300</v>
      </c>
      <c r="C11" s="37">
        <v>-4825</v>
      </c>
      <c r="D11" s="37">
        <v>-8014</v>
      </c>
      <c r="E11" s="37">
        <v>-5357</v>
      </c>
      <c r="F11" s="37">
        <v>-10780</v>
      </c>
      <c r="G11" s="37">
        <v>-7163</v>
      </c>
      <c r="H11" s="37">
        <v>-5632</v>
      </c>
      <c r="I11" s="37">
        <v>-7677</v>
      </c>
      <c r="J11" s="37">
        <v>-11523</v>
      </c>
      <c r="K11" s="266">
        <f>-9842</f>
        <v>-9842</v>
      </c>
      <c r="L11" s="266">
        <v>-8521</v>
      </c>
      <c r="M11" s="266">
        <v>-7739</v>
      </c>
      <c r="N11" s="38">
        <v>-12858</v>
      </c>
      <c r="O11" s="38">
        <v>-10264</v>
      </c>
      <c r="P11" s="38">
        <v>-10720</v>
      </c>
      <c r="Q11" s="38">
        <v>-15131</v>
      </c>
    </row>
    <row r="12" spans="1:17" ht="15" customHeight="1">
      <c r="A12" s="35" t="s">
        <v>58</v>
      </c>
      <c r="B12" s="35" t="s">
        <v>43</v>
      </c>
      <c r="C12" s="39">
        <v>-27993</v>
      </c>
      <c r="D12" s="39">
        <v>-16655</v>
      </c>
      <c r="E12" s="39">
        <v>-39161</v>
      </c>
      <c r="F12" s="39">
        <v>-30240</v>
      </c>
      <c r="G12" s="39">
        <f>SUM(G3:G11)</f>
        <v>-26161</v>
      </c>
      <c r="H12" s="39">
        <v>-84548</v>
      </c>
      <c r="I12" s="39">
        <v>-34081</v>
      </c>
      <c r="J12" s="39">
        <v>-47951</v>
      </c>
      <c r="K12" s="39">
        <f t="shared" ref="K12:P12" si="0">SUM(K3:K11)</f>
        <v>-26792</v>
      </c>
      <c r="L12" s="39">
        <f t="shared" si="0"/>
        <v>-46032</v>
      </c>
      <c r="M12" s="39">
        <f t="shared" si="0"/>
        <v>-35419</v>
      </c>
      <c r="N12" s="39">
        <f>SUM(N3:N11)</f>
        <v>-303639</v>
      </c>
      <c r="O12" s="39">
        <f t="shared" si="0"/>
        <v>-91340</v>
      </c>
      <c r="P12" s="39">
        <f t="shared" si="0"/>
        <v>-150057</v>
      </c>
      <c r="Q12" s="39">
        <f t="shared" ref="Q12" si="1">SUM(Q3:Q11)</f>
        <v>-54449</v>
      </c>
    </row>
    <row r="13" spans="1:17">
      <c r="B13" s="243"/>
      <c r="C13" s="323"/>
      <c r="D13" s="323"/>
      <c r="E13" s="323"/>
      <c r="F13" s="323"/>
      <c r="G13" s="323"/>
      <c r="H13" s="323"/>
      <c r="I13" s="323"/>
      <c r="J13" s="323"/>
      <c r="K13" s="323"/>
      <c r="L13" s="323"/>
      <c r="M13" s="323"/>
      <c r="N13" s="323"/>
      <c r="O13" s="323"/>
      <c r="P13" s="323"/>
      <c r="Q13" s="323"/>
    </row>
    <row r="14" spans="1:17">
      <c r="B14" s="316"/>
      <c r="C14" s="314"/>
      <c r="D14" s="314"/>
      <c r="E14" s="314"/>
      <c r="F14" s="315"/>
      <c r="G14" s="315"/>
      <c r="H14" s="315"/>
      <c r="I14" s="315"/>
      <c r="J14" s="315"/>
      <c r="K14" s="315"/>
      <c r="L14" s="315"/>
      <c r="M14" s="315"/>
      <c r="N14" s="315"/>
      <c r="O14" s="315"/>
      <c r="P14" s="315"/>
      <c r="Q14" s="315"/>
    </row>
    <row r="15" spans="1:17">
      <c r="B15" s="316"/>
      <c r="C15" s="317"/>
      <c r="D15" s="317"/>
      <c r="E15" s="317"/>
      <c r="F15" s="317"/>
      <c r="G15" s="317"/>
      <c r="H15" s="317"/>
      <c r="I15" s="317"/>
      <c r="J15" s="317"/>
      <c r="K15" s="318"/>
      <c r="L15" s="318"/>
      <c r="M15" s="93"/>
      <c r="N15" s="93"/>
      <c r="O15" s="93"/>
      <c r="P15" s="93"/>
      <c r="Q15" s="93"/>
    </row>
    <row r="16" spans="1:17" s="90" customFormat="1">
      <c r="A16" s="20"/>
      <c r="B16" s="319"/>
      <c r="C16" s="93"/>
      <c r="D16" s="93"/>
      <c r="E16" s="93"/>
      <c r="F16" s="93"/>
      <c r="G16" s="273"/>
      <c r="H16" s="93"/>
      <c r="I16" s="93"/>
      <c r="J16" s="93"/>
      <c r="K16" s="93"/>
      <c r="L16" s="93"/>
      <c r="M16" s="93"/>
      <c r="N16" s="93"/>
      <c r="O16" s="93"/>
      <c r="P16" s="93"/>
      <c r="Q16" s="93"/>
    </row>
    <row r="17" spans="7:7">
      <c r="G17" s="274"/>
    </row>
    <row r="18" spans="7:7">
      <c r="G18" s="274"/>
    </row>
    <row r="19" spans="7:7">
      <c r="G19" s="274"/>
    </row>
    <row r="20" spans="7:7">
      <c r="G20" s="274"/>
    </row>
    <row r="21" spans="7:7">
      <c r="G21" s="274"/>
    </row>
    <row r="22" spans="7:7">
      <c r="G22" s="274"/>
    </row>
    <row r="23" spans="7:7">
      <c r="G23" s="274"/>
    </row>
    <row r="24" spans="7:7">
      <c r="G24" s="274"/>
    </row>
    <row r="25" spans="7:7">
      <c r="G25" s="274"/>
    </row>
    <row r="26" spans="7:7">
      <c r="G26" s="274"/>
    </row>
    <row r="27" spans="7:7">
      <c r="G27" s="274"/>
    </row>
  </sheetData>
  <customSheetViews>
    <customSheetView guid="{8FDDB7D7-275F-4F23-B770-BAF5AFA4F358}" showGridLines="0">
      <pane xSplit="2" ySplit="2" topLeftCell="C3" activePane="bottomRight" state="frozen"/>
      <selection pane="bottomRight" activeCell="C3" sqref="C3"/>
      <pageMargins left="0.7" right="0.7" top="0.75" bottom="0.75" header="0.3" footer="0.3"/>
    </customSheetView>
    <customSheetView guid="{12F8D032-8143-430B-8DFF-852E8796C402}" showGridLines="0">
      <selection activeCell="A3" sqref="A3"/>
      <pageMargins left="0.7" right="0.7" top="0.75" bottom="0.75" header="0.3" footer="0.3"/>
    </customSheetView>
    <customSheetView guid="{687A4863-1825-4D63-B732-E76682E6DE4F}" showGridLines="0" topLeftCell="H1">
      <selection activeCell="O15" sqref="O15"/>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1"/>
    </customSheetView>
    <customSheetView guid="{8DA78CF1-615A-4626-9893-6751995631A4}" showGridLines="0" topLeftCell="G1">
      <selection activeCell="N17" sqref="N17"/>
      <pageMargins left="0.7" right="0.7" top="0.75" bottom="0.75" header="0.3" footer="0.3"/>
    </customSheetView>
    <customSheetView guid="{25FAB884-5E17-4008-8139-33D910C7DEFE}">
      <selection activeCell="L27" sqref="L27"/>
      <pageMargins left="0.7" right="0.7" top="0.75" bottom="0.75" header="0.3" footer="0.3"/>
    </customSheetView>
    <customSheetView guid="{899D69CD-4B7E-42BC-9944-5BD922EB798C}">
      <selection activeCell="B8" sqref="B8"/>
      <pageMargins left="0.7" right="0.7" top="0.75" bottom="0.75" header="0.3" footer="0.3"/>
    </customSheetView>
    <customSheetView guid="{9AF4A83C-CF57-4B40-8A74-6A0EA6C2FE5C}" topLeftCell="C1">
      <selection activeCell="N4" sqref="N4"/>
      <pageMargins left="0.7" right="0.7" top="0.75" bottom="0.75" header="0.3" footer="0.3"/>
      <pageSetup paperSize="9" orientation="portrait" horizontalDpi="1200" verticalDpi="1200" r:id="rId2"/>
    </customSheetView>
    <customSheetView guid="{746490BF-9C44-4B41-8803-BEC9E453576A}" showGridLines="0">
      <pane xSplit="2" ySplit="2" topLeftCell="C3" activePane="bottomRight" state="frozen"/>
      <selection pane="bottomRight" activeCell="C3" sqref="C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8FDDB7D7-275F-4F23-B770-BAF5AFA4F358}"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746490BF-9C44-4B41-8803-BEC9E453576A}"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workbookViewId="0">
      <pane xSplit="3" ySplit="1" topLeftCell="Q2" activePane="bottomRight" state="frozen"/>
      <selection pane="topRight" activeCell="D1" sqref="D1"/>
      <selection pane="bottomLeft" activeCell="A2" sqref="A2"/>
      <selection pane="bottomRight" activeCell="D2" sqref="D2"/>
    </sheetView>
  </sheetViews>
  <sheetFormatPr defaultColWidth="9.140625" defaultRowHeight="12.75"/>
  <cols>
    <col min="1" max="1" width="3.85546875" style="115" customWidth="1"/>
    <col min="2" max="2" width="52.85546875" style="130" customWidth="1"/>
    <col min="3" max="3" width="53.85546875" style="130" customWidth="1"/>
    <col min="4" max="18" width="17.85546875" style="130" customWidth="1"/>
    <col min="19" max="16384" width="9.140625" style="115"/>
  </cols>
  <sheetData>
    <row r="1" spans="2:24" ht="26.25" thickBot="1">
      <c r="B1" s="112" t="s">
        <v>414</v>
      </c>
      <c r="C1" s="112" t="s">
        <v>430</v>
      </c>
      <c r="D1" s="114" t="s">
        <v>503</v>
      </c>
      <c r="E1" s="113" t="s">
        <v>502</v>
      </c>
      <c r="F1" s="113" t="s">
        <v>501</v>
      </c>
      <c r="G1" s="114" t="s">
        <v>597</v>
      </c>
      <c r="H1" s="114" t="s">
        <v>431</v>
      </c>
      <c r="I1" s="113" t="s">
        <v>450</v>
      </c>
      <c r="J1" s="113" t="s">
        <v>449</v>
      </c>
      <c r="K1" s="113" t="s">
        <v>448</v>
      </c>
      <c r="L1" s="113" t="s">
        <v>447</v>
      </c>
      <c r="M1" s="113" t="s">
        <v>595</v>
      </c>
      <c r="N1" s="113" t="s">
        <v>625</v>
      </c>
      <c r="O1" s="113" t="s">
        <v>661</v>
      </c>
      <c r="P1" s="113" t="s">
        <v>672</v>
      </c>
      <c r="Q1" s="113" t="s">
        <v>690</v>
      </c>
      <c r="R1" s="113" t="s">
        <v>691</v>
      </c>
    </row>
    <row r="2" spans="2:24" ht="12.6" customHeight="1">
      <c r="B2" s="116" t="s">
        <v>415</v>
      </c>
      <c r="C2" s="128" t="s">
        <v>432</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T2" s="292"/>
      <c r="U2" s="292"/>
      <c r="V2" s="292"/>
      <c r="W2" s="292"/>
      <c r="X2" s="292"/>
    </row>
    <row r="3" spans="2:24" ht="12.6" customHeight="1">
      <c r="B3" s="118" t="s">
        <v>416</v>
      </c>
      <c r="C3" s="129" t="s">
        <v>433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T3" s="292"/>
      <c r="U3" s="292"/>
      <c r="V3" s="292"/>
      <c r="W3" s="292"/>
      <c r="X3" s="292"/>
    </row>
    <row r="4" spans="2:24" ht="12.6" customHeight="1">
      <c r="B4" s="118" t="s">
        <v>417</v>
      </c>
      <c r="C4" s="129" t="s">
        <v>434</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T4" s="292"/>
      <c r="U4" s="292"/>
      <c r="V4" s="292"/>
      <c r="W4" s="292"/>
      <c r="X4" s="292"/>
    </row>
    <row r="5" spans="2:24" ht="12.6" customHeight="1">
      <c r="B5" s="118" t="s">
        <v>418</v>
      </c>
      <c r="C5" s="129" t="s">
        <v>435</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T5" s="292"/>
      <c r="U5" s="292"/>
      <c r="V5" s="292"/>
      <c r="W5" s="292"/>
      <c r="X5" s="292"/>
    </row>
    <row r="6" spans="2:24" ht="12.6" customHeight="1">
      <c r="B6" s="118" t="s">
        <v>419</v>
      </c>
      <c r="C6" s="129" t="s">
        <v>436</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T6" s="292"/>
      <c r="U6" s="292"/>
      <c r="V6" s="292"/>
      <c r="W6" s="292"/>
      <c r="X6" s="292"/>
    </row>
    <row r="7" spans="2:24" ht="12.6" customHeight="1">
      <c r="B7" s="118" t="s">
        <v>420</v>
      </c>
      <c r="C7" s="129" t="s">
        <v>437</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T7" s="292"/>
      <c r="U7" s="292"/>
      <c r="V7" s="292"/>
      <c r="W7" s="292"/>
      <c r="X7" s="292"/>
    </row>
    <row r="8" spans="2:24" ht="12.6" customHeight="1">
      <c r="B8" s="118" t="s">
        <v>421</v>
      </c>
      <c r="C8" s="129" t="s">
        <v>438</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T8" s="292"/>
      <c r="U8" s="292"/>
      <c r="V8" s="292"/>
      <c r="W8" s="292"/>
      <c r="X8" s="292"/>
    </row>
    <row r="9" spans="2:24" ht="12.6" customHeight="1">
      <c r="B9" s="118" t="s">
        <v>422</v>
      </c>
      <c r="C9" s="129" t="s">
        <v>439</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T9" s="292"/>
      <c r="U9" s="292"/>
      <c r="V9" s="292"/>
      <c r="W9" s="292"/>
      <c r="X9" s="292"/>
    </row>
    <row r="10" spans="2:24" ht="12.6" customHeight="1">
      <c r="B10" s="118" t="s">
        <v>423</v>
      </c>
      <c r="C10" s="129" t="s">
        <v>440</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T10" s="292"/>
      <c r="U10" s="292"/>
      <c r="V10" s="292"/>
      <c r="W10" s="292"/>
      <c r="X10" s="292"/>
    </row>
    <row r="11" spans="2:24" ht="12.6" customHeight="1">
      <c r="B11" s="118" t="s">
        <v>424</v>
      </c>
      <c r="C11" s="129" t="s">
        <v>441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T11" s="292"/>
      <c r="U11" s="292"/>
      <c r="V11" s="292"/>
      <c r="W11" s="292"/>
      <c r="X11" s="292"/>
    </row>
    <row r="12" spans="2:24" ht="12.6" customHeight="1">
      <c r="B12" s="118" t="s">
        <v>425</v>
      </c>
      <c r="C12" s="129" t="s">
        <v>442</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T12" s="292"/>
      <c r="U12" s="292"/>
      <c r="V12" s="292"/>
      <c r="W12" s="292"/>
      <c r="X12" s="292"/>
    </row>
    <row r="13" spans="2:24" ht="12.6" customHeight="1">
      <c r="B13" s="118" t="s">
        <v>426</v>
      </c>
      <c r="C13" s="129" t="s">
        <v>443</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0.18759999999999999</v>
      </c>
      <c r="R13" s="122">
        <v>0.187</v>
      </c>
      <c r="T13" s="292"/>
      <c r="U13" s="292"/>
      <c r="V13" s="292"/>
      <c r="W13" s="292"/>
      <c r="X13" s="292"/>
    </row>
    <row r="14" spans="2:24" ht="12.6" customHeight="1">
      <c r="B14" s="118" t="s">
        <v>427</v>
      </c>
      <c r="C14" s="129" t="s">
        <v>444</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0.1681</v>
      </c>
      <c r="R14" s="120">
        <v>0.1676</v>
      </c>
      <c r="T14" s="292"/>
      <c r="U14" s="292"/>
      <c r="V14" s="292"/>
      <c r="W14" s="292"/>
      <c r="X14" s="292"/>
    </row>
    <row r="15" spans="2:24" ht="12.6" customHeight="1">
      <c r="B15" s="118" t="s">
        <v>428</v>
      </c>
      <c r="C15" s="129" t="s">
        <v>445</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T15" s="292"/>
      <c r="U15" s="292"/>
      <c r="V15" s="292"/>
      <c r="W15" s="292"/>
      <c r="X15" s="292"/>
    </row>
    <row r="16" spans="2:24" ht="13.5" customHeight="1" thickBot="1">
      <c r="B16" s="124" t="s">
        <v>429</v>
      </c>
      <c r="C16" s="124" t="s">
        <v>446</v>
      </c>
      <c r="D16" s="125">
        <v>4.5599999999999996</v>
      </c>
      <c r="E16" s="125">
        <v>11.09</v>
      </c>
      <c r="F16" s="125">
        <v>16.57</v>
      </c>
      <c r="G16" s="125">
        <v>22.15</v>
      </c>
      <c r="H16" s="125">
        <v>4.37</v>
      </c>
      <c r="I16" s="125">
        <v>10.85</v>
      </c>
      <c r="J16" s="125">
        <v>15.86</v>
      </c>
      <c r="K16" s="125">
        <v>23.7</v>
      </c>
      <c r="L16" s="125">
        <v>3.32</v>
      </c>
      <c r="M16" s="288">
        <v>9.16</v>
      </c>
      <c r="N16" s="288">
        <v>15.98</v>
      </c>
      <c r="O16" s="125">
        <v>20.95</v>
      </c>
      <c r="P16" s="125">
        <v>1.67</v>
      </c>
      <c r="Q16" s="125">
        <v>4.66</v>
      </c>
      <c r="R16" s="125">
        <v>9.36</v>
      </c>
      <c r="S16" s="292"/>
      <c r="T16" s="292"/>
      <c r="U16" s="292"/>
      <c r="V16" s="292"/>
      <c r="W16" s="292"/>
      <c r="X16" s="292"/>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6" t="s">
        <v>451</v>
      </c>
      <c r="B18" s="242" t="s">
        <v>662</v>
      </c>
      <c r="C18" s="248" t="s">
        <v>663</v>
      </c>
      <c r="D18" s="127"/>
      <c r="E18" s="127"/>
      <c r="F18" s="127"/>
      <c r="G18" s="127"/>
      <c r="H18" s="127"/>
      <c r="I18" s="127"/>
      <c r="J18" s="127"/>
      <c r="K18" s="127"/>
      <c r="L18" s="127"/>
      <c r="M18" s="127"/>
      <c r="N18" s="127"/>
      <c r="O18" s="127"/>
      <c r="P18" s="127"/>
      <c r="Q18" s="127"/>
      <c r="R18" s="127"/>
    </row>
    <row r="19" spans="1:18" ht="29.25">
      <c r="A19" s="146" t="s">
        <v>452</v>
      </c>
      <c r="B19" s="403" t="s">
        <v>697</v>
      </c>
      <c r="C19" s="403" t="s">
        <v>664</v>
      </c>
      <c r="D19" s="127"/>
      <c r="E19" s="127"/>
      <c r="F19" s="127"/>
      <c r="G19" s="127"/>
      <c r="H19" s="127"/>
      <c r="I19" s="127"/>
      <c r="J19" s="127"/>
      <c r="K19" s="127"/>
      <c r="L19" s="127"/>
      <c r="M19" s="127"/>
      <c r="N19" s="127"/>
      <c r="O19" s="127"/>
      <c r="P19" s="127"/>
      <c r="Q19" s="127"/>
      <c r="R19" s="127"/>
    </row>
    <row r="20" spans="1:18" ht="29.25">
      <c r="A20" s="146" t="s">
        <v>453</v>
      </c>
      <c r="B20" s="242" t="s">
        <v>665</v>
      </c>
      <c r="C20" s="403" t="s">
        <v>666</v>
      </c>
      <c r="D20" s="127"/>
      <c r="E20" s="127"/>
      <c r="F20" s="127"/>
      <c r="G20" s="127"/>
      <c r="H20" s="127"/>
      <c r="I20" s="127"/>
      <c r="J20" s="127"/>
      <c r="K20" s="127"/>
      <c r="L20" s="127"/>
      <c r="M20" s="127"/>
      <c r="N20" s="127"/>
      <c r="O20" s="127"/>
      <c r="P20" s="127"/>
      <c r="Q20" s="127"/>
      <c r="R20" s="127"/>
    </row>
    <row r="21" spans="1:18" ht="29.25">
      <c r="A21" s="146" t="s">
        <v>454</v>
      </c>
      <c r="B21" s="242" t="s">
        <v>568</v>
      </c>
      <c r="C21" s="248" t="s">
        <v>569</v>
      </c>
      <c r="D21" s="127"/>
      <c r="E21" s="127"/>
      <c r="F21" s="127"/>
      <c r="G21" s="127"/>
      <c r="H21" s="127"/>
      <c r="I21" s="127"/>
      <c r="J21" s="127"/>
      <c r="K21" s="127"/>
      <c r="L21" s="127"/>
      <c r="M21" s="127"/>
      <c r="N21" s="127"/>
      <c r="O21" s="127"/>
      <c r="P21" s="127"/>
      <c r="Q21" s="127"/>
      <c r="R21" s="127"/>
    </row>
    <row r="22" spans="1:18" ht="29.25">
      <c r="A22" s="146" t="s">
        <v>455</v>
      </c>
      <c r="B22" s="242" t="s">
        <v>456</v>
      </c>
      <c r="C22" s="248" t="s">
        <v>570</v>
      </c>
      <c r="D22" s="127"/>
      <c r="E22" s="127"/>
      <c r="F22" s="127"/>
      <c r="G22" s="127"/>
      <c r="H22" s="127"/>
      <c r="I22" s="127"/>
      <c r="J22" s="127"/>
      <c r="K22" s="127"/>
      <c r="L22" s="127"/>
      <c r="M22" s="127"/>
      <c r="N22" s="127"/>
      <c r="O22" s="127"/>
      <c r="P22" s="127"/>
      <c r="Q22" s="127"/>
      <c r="R22" s="127"/>
    </row>
    <row r="23" spans="1:18" ht="48.75">
      <c r="A23" s="146" t="s">
        <v>457</v>
      </c>
      <c r="B23" s="242" t="s">
        <v>458</v>
      </c>
      <c r="C23" s="248" t="s">
        <v>571</v>
      </c>
      <c r="D23" s="127"/>
      <c r="E23" s="127"/>
      <c r="F23" s="127"/>
      <c r="G23" s="127"/>
      <c r="H23" s="127"/>
      <c r="I23" s="127"/>
      <c r="J23" s="127"/>
      <c r="K23" s="127"/>
      <c r="L23" s="127"/>
      <c r="M23" s="127"/>
      <c r="N23" s="127"/>
      <c r="O23" s="127"/>
      <c r="P23" s="127"/>
      <c r="Q23" s="127"/>
      <c r="R23" s="127"/>
    </row>
    <row r="24" spans="1:18" ht="22.5" customHeight="1">
      <c r="A24" s="146" t="s">
        <v>459</v>
      </c>
      <c r="B24" s="242" t="s">
        <v>460</v>
      </c>
      <c r="C24" s="248" t="s">
        <v>572</v>
      </c>
      <c r="D24" s="127"/>
      <c r="E24" s="127"/>
      <c r="F24" s="127"/>
      <c r="G24" s="127"/>
      <c r="H24" s="127"/>
      <c r="I24" s="127"/>
      <c r="J24" s="127"/>
      <c r="K24" s="127"/>
      <c r="L24" s="127"/>
      <c r="M24" s="127"/>
      <c r="N24" s="127"/>
      <c r="O24" s="127"/>
      <c r="P24" s="127"/>
      <c r="Q24" s="127"/>
      <c r="R24" s="127"/>
    </row>
    <row r="25" spans="1:18" ht="29.25">
      <c r="A25" s="146" t="s">
        <v>461</v>
      </c>
      <c r="B25" s="242" t="s">
        <v>462</v>
      </c>
      <c r="C25" s="248" t="s">
        <v>573</v>
      </c>
      <c r="D25" s="127"/>
      <c r="E25" s="127"/>
      <c r="F25" s="127"/>
      <c r="G25" s="127"/>
      <c r="H25" s="127"/>
      <c r="I25" s="127"/>
      <c r="J25" s="127"/>
      <c r="K25" s="127"/>
      <c r="L25" s="127"/>
      <c r="M25" s="127"/>
      <c r="N25" s="127"/>
      <c r="O25" s="127"/>
      <c r="P25" s="127"/>
      <c r="Q25" s="127"/>
      <c r="R25" s="127"/>
    </row>
    <row r="26" spans="1:18" ht="19.5">
      <c r="A26" s="146" t="s">
        <v>463</v>
      </c>
      <c r="B26" s="242" t="s">
        <v>464</v>
      </c>
      <c r="C26" s="248" t="s">
        <v>574</v>
      </c>
      <c r="D26" s="127"/>
      <c r="E26" s="127"/>
      <c r="F26" s="127"/>
      <c r="G26" s="127"/>
      <c r="H26" s="127"/>
      <c r="I26" s="127"/>
      <c r="J26" s="127"/>
      <c r="K26" s="127"/>
      <c r="L26" s="127"/>
      <c r="M26" s="127"/>
      <c r="N26" s="127"/>
      <c r="O26" s="127"/>
      <c r="P26" s="127"/>
      <c r="Q26" s="127"/>
      <c r="R26" s="127"/>
    </row>
    <row r="27" spans="1:18" ht="19.5">
      <c r="A27" s="146" t="s">
        <v>465</v>
      </c>
      <c r="B27" s="242" t="s">
        <v>667</v>
      </c>
      <c r="C27" s="248" t="s">
        <v>575</v>
      </c>
      <c r="D27" s="127"/>
      <c r="E27" s="127"/>
      <c r="F27" s="127"/>
      <c r="G27" s="127"/>
      <c r="H27" s="127"/>
      <c r="I27" s="127"/>
      <c r="J27" s="127"/>
      <c r="K27" s="127"/>
      <c r="L27" s="127"/>
      <c r="M27" s="127"/>
      <c r="N27" s="127"/>
      <c r="O27" s="127"/>
      <c r="P27" s="127"/>
      <c r="Q27" s="127"/>
      <c r="R27" s="127"/>
    </row>
    <row r="28" spans="1:18">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customSheetViews>
    <customSheetView guid="{8FDDB7D7-275F-4F23-B770-BAF5AFA4F358}" showGridLines="0">
      <pane xSplit="3" ySplit="1" topLeftCell="Q2" activePane="bottomRight" state="frozen"/>
      <selection pane="bottomRight" activeCell="D2" sqref="D2"/>
      <pageMargins left="0.7" right="0.7" top="0.75" bottom="0.75" header="0.3" footer="0.3"/>
      <pageSetup paperSize="9" orientation="portrait" r:id="rId1"/>
    </customSheetView>
    <customSheetView guid="{12F8D032-8143-430B-8DFF-852E8796C402}" showGridLines="0" topLeftCell="K1">
      <selection activeCell="R26" sqref="R26"/>
      <pageMargins left="0.7" right="0.7" top="0.75" bottom="0.75" header="0.3" footer="0.3"/>
      <pageSetup paperSize="9" orientation="portrait" r:id="rId2"/>
    </customSheetView>
    <customSheetView guid="{687A4863-1825-4D63-B732-E76682E6DE4F}" showGridLines="0">
      <selection activeCell="B37" sqref="B37"/>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8DA78CF1-615A-4626-9893-6751995631A4}" showGridLines="0" topLeftCell="L1">
      <selection activeCell="P17" sqref="P17"/>
      <pageMargins left="0.7" right="0.7" top="0.75" bottom="0.75" header="0.3" footer="0.3"/>
      <pageSetup paperSize="9" orientation="portrait" r:id="rId5"/>
    </customSheetView>
    <customSheetView guid="{25FAB884-5E17-4008-8139-33D910C7DEFE}">
      <selection activeCell="F20" sqref="F20"/>
      <pageMargins left="0.7" right="0.7" top="0.75" bottom="0.75" header="0.3" footer="0.3"/>
      <pageSetup paperSize="9" orientation="portrait" r:id="rId6"/>
    </customSheetView>
    <customSheetView guid="{899D69CD-4B7E-42BC-9944-5BD922EB798C}">
      <selection activeCell="F20" sqref="F20"/>
      <pageMargins left="0.7" right="0.7" top="0.75" bottom="0.75" header="0.3" footer="0.3"/>
      <pageSetup paperSize="9" orientation="portrait" r:id="rId7"/>
    </customSheetView>
    <customSheetView guid="{9AF4A83C-CF57-4B40-8A74-6A0EA6C2FE5C}" showGridLines="0" topLeftCell="D1">
      <selection activeCell="K23" sqref="K23"/>
      <pageMargins left="0.7" right="0.7" top="0.75" bottom="0.75" header="0.3" footer="0.3"/>
      <pageSetup paperSize="9" orientation="portrait" r:id="rId8"/>
    </customSheetView>
    <customSheetView guid="{746490BF-9C44-4B41-8803-BEC9E453576A}" showGridLines="0">
      <pane xSplit="3" ySplit="1" topLeftCell="Q2" activePane="bottomRight" state="frozen"/>
      <selection pane="bottomRight" activeCell="D2" sqref="D2"/>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showGridLines="0" topLeftCell="B1" workbookViewId="0">
      <pane xSplit="1" ySplit="2" topLeftCell="C3" activePane="bottomRight" state="frozen"/>
      <selection activeCell="B1" sqref="B1"/>
      <selection pane="topRight" activeCell="C1" sqref="C1"/>
      <selection pane="bottomLeft" activeCell="B3" sqref="B3"/>
      <selection pane="bottomRight" activeCell="N16" sqref="N16"/>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11" style="3" customWidth="1"/>
    <col min="9" max="9" width="11.7109375" customWidth="1"/>
    <col min="10" max="10" width="11.7109375" style="3" customWidth="1"/>
  </cols>
  <sheetData>
    <row r="2" spans="1:10" s="90" customFormat="1" ht="15.75" thickBot="1">
      <c r="A2" s="44" t="s">
        <v>559</v>
      </c>
      <c r="B2" s="44" t="s">
        <v>560</v>
      </c>
      <c r="C2" s="52" t="s">
        <v>172</v>
      </c>
      <c r="D2" s="52" t="s">
        <v>598</v>
      </c>
      <c r="E2" s="54" t="s">
        <v>599</v>
      </c>
      <c r="F2" s="54" t="s">
        <v>624</v>
      </c>
      <c r="G2" s="54" t="s">
        <v>659</v>
      </c>
      <c r="H2" s="54">
        <v>43921</v>
      </c>
      <c r="I2" s="54">
        <v>44012</v>
      </c>
      <c r="J2" s="205">
        <v>44104</v>
      </c>
    </row>
    <row r="3" spans="1:10" s="90" customFormat="1">
      <c r="A3" s="220" t="s">
        <v>561</v>
      </c>
      <c r="B3" s="220" t="s">
        <v>500</v>
      </c>
      <c r="C3" s="221"/>
      <c r="D3" s="221"/>
      <c r="E3" s="221"/>
      <c r="F3" s="221"/>
      <c r="G3" s="221"/>
      <c r="H3" s="221"/>
      <c r="I3" s="221"/>
      <c r="J3" s="221"/>
    </row>
    <row r="4" spans="1:10" s="90" customFormat="1">
      <c r="A4" s="222" t="s">
        <v>562</v>
      </c>
      <c r="B4" s="222" t="s">
        <v>178</v>
      </c>
      <c r="C4" s="223">
        <v>127863304</v>
      </c>
      <c r="D4" s="223">
        <v>128673847</v>
      </c>
      <c r="E4" s="223">
        <v>130272454</v>
      </c>
      <c r="F4" s="223">
        <v>132561589</v>
      </c>
      <c r="G4" s="223">
        <v>132377036</v>
      </c>
      <c r="H4" s="223">
        <v>136527701</v>
      </c>
      <c r="I4" s="223">
        <v>130427157</v>
      </c>
      <c r="J4" s="223">
        <v>129855264</v>
      </c>
    </row>
    <row r="5" spans="1:10" s="90" customFormat="1">
      <c r="A5" s="224" t="s">
        <v>563</v>
      </c>
      <c r="B5" s="224" t="s">
        <v>576</v>
      </c>
      <c r="C5" s="225">
        <v>-564638</v>
      </c>
      <c r="D5" s="225">
        <v>-557472</v>
      </c>
      <c r="E5" s="225">
        <v>-552330</v>
      </c>
      <c r="F5" s="225">
        <v>-574167</v>
      </c>
      <c r="G5" s="225">
        <v>-571396</v>
      </c>
      <c r="H5" s="225">
        <v>-561675</v>
      </c>
      <c r="I5" s="225">
        <v>-564395</v>
      </c>
      <c r="J5" s="225">
        <v>-559747</v>
      </c>
    </row>
    <row r="6" spans="1:10" s="90" customFormat="1">
      <c r="A6" s="226" t="s">
        <v>332</v>
      </c>
      <c r="B6" s="226" t="s">
        <v>326</v>
      </c>
      <c r="C6" s="227"/>
      <c r="D6" s="227"/>
      <c r="E6" s="227"/>
      <c r="F6" s="227"/>
      <c r="G6" s="227"/>
      <c r="H6" s="227"/>
      <c r="I6" s="227"/>
      <c r="J6" s="227"/>
    </row>
    <row r="7" spans="1:10" s="90" customFormat="1">
      <c r="A7" s="222" t="s">
        <v>562</v>
      </c>
      <c r="B7" s="222" t="s">
        <v>178</v>
      </c>
      <c r="C7" s="223">
        <v>5696092</v>
      </c>
      <c r="D7" s="223">
        <v>6093723</v>
      </c>
      <c r="E7" s="223">
        <v>6783875</v>
      </c>
      <c r="F7" s="223">
        <v>6863173</v>
      </c>
      <c r="G7" s="223">
        <v>6546106</v>
      </c>
      <c r="H7" s="223">
        <v>6762337</v>
      </c>
      <c r="I7" s="223">
        <v>7674190</v>
      </c>
      <c r="J7" s="223">
        <v>7784160</v>
      </c>
    </row>
    <row r="8" spans="1:10" s="90" customFormat="1">
      <c r="A8" s="224" t="s">
        <v>563</v>
      </c>
      <c r="B8" s="224" t="s">
        <v>576</v>
      </c>
      <c r="C8" s="225">
        <v>-530276</v>
      </c>
      <c r="D8" s="225">
        <v>-552727</v>
      </c>
      <c r="E8" s="225">
        <v>-615669</v>
      </c>
      <c r="F8" s="225">
        <v>-639951</v>
      </c>
      <c r="G8" s="225">
        <v>-582541</v>
      </c>
      <c r="H8" s="225">
        <v>-741693</v>
      </c>
      <c r="I8" s="225">
        <v>-817540</v>
      </c>
      <c r="J8" s="225">
        <v>-819377</v>
      </c>
    </row>
    <row r="9" spans="1:10" s="90" customFormat="1">
      <c r="A9" s="226" t="s">
        <v>333</v>
      </c>
      <c r="B9" s="226" t="s">
        <v>327</v>
      </c>
      <c r="C9" s="227"/>
      <c r="D9" s="227"/>
      <c r="E9" s="227"/>
      <c r="F9" s="227"/>
      <c r="G9" s="227"/>
      <c r="H9" s="227"/>
      <c r="I9" s="227"/>
      <c r="J9" s="227"/>
    </row>
    <row r="10" spans="1:10" s="90" customFormat="1">
      <c r="A10" s="222" t="s">
        <v>562</v>
      </c>
      <c r="B10" s="222" t="s">
        <v>178</v>
      </c>
      <c r="C10" s="223">
        <v>5703661</v>
      </c>
      <c r="D10" s="223">
        <v>6091077</v>
      </c>
      <c r="E10" s="223">
        <v>6095285</v>
      </c>
      <c r="F10" s="223">
        <v>6539299</v>
      </c>
      <c r="G10" s="223">
        <v>6834385</v>
      </c>
      <c r="H10" s="223">
        <v>7142136</v>
      </c>
      <c r="I10" s="223">
        <v>7506574</v>
      </c>
      <c r="J10" s="223">
        <v>7629025</v>
      </c>
    </row>
    <row r="11" spans="1:10" s="90" customFormat="1">
      <c r="A11" s="224" t="s">
        <v>563</v>
      </c>
      <c r="B11" s="224" t="s">
        <v>576</v>
      </c>
      <c r="C11" s="225">
        <v>-3236293</v>
      </c>
      <c r="D11" s="225">
        <v>-3480014</v>
      </c>
      <c r="E11" s="225">
        <v>-3562717</v>
      </c>
      <c r="F11" s="225">
        <v>-3751732</v>
      </c>
      <c r="G11" s="225">
        <v>-3886229</v>
      </c>
      <c r="H11" s="225">
        <v>-4043474</v>
      </c>
      <c r="I11" s="225">
        <v>-4288048</v>
      </c>
      <c r="J11" s="225">
        <v>-4530127</v>
      </c>
    </row>
    <row r="12" spans="1:10" s="90" customFormat="1">
      <c r="A12" s="226" t="s">
        <v>492</v>
      </c>
      <c r="B12" s="226" t="s">
        <v>492</v>
      </c>
      <c r="C12" s="227"/>
      <c r="D12" s="227"/>
      <c r="E12" s="227"/>
      <c r="F12" s="227"/>
      <c r="G12" s="227"/>
      <c r="H12" s="227"/>
      <c r="I12" s="227"/>
      <c r="J12" s="227"/>
    </row>
    <row r="13" spans="1:10" s="90" customFormat="1">
      <c r="A13" s="222" t="s">
        <v>562</v>
      </c>
      <c r="B13" s="222" t="s">
        <v>178</v>
      </c>
      <c r="C13" s="223">
        <v>764562</v>
      </c>
      <c r="D13" s="223">
        <v>738455</v>
      </c>
      <c r="E13" s="223">
        <v>720352</v>
      </c>
      <c r="F13" s="223">
        <v>768655</v>
      </c>
      <c r="G13" s="223">
        <v>769208</v>
      </c>
      <c r="H13" s="223">
        <v>756701</v>
      </c>
      <c r="I13" s="223">
        <v>723074</v>
      </c>
      <c r="J13" s="223">
        <v>718820</v>
      </c>
    </row>
    <row r="14" spans="1:10" s="90" customFormat="1" ht="15.75" thickBot="1">
      <c r="A14" s="228" t="s">
        <v>563</v>
      </c>
      <c r="B14" s="228" t="s">
        <v>576</v>
      </c>
      <c r="C14" s="229">
        <v>-53115</v>
      </c>
      <c r="D14" s="229">
        <v>-74297</v>
      </c>
      <c r="E14" s="229">
        <v>-89355</v>
      </c>
      <c r="F14" s="229">
        <v>-151498</v>
      </c>
      <c r="G14" s="229">
        <v>-204198</v>
      </c>
      <c r="H14" s="229">
        <v>-216716</v>
      </c>
      <c r="I14" s="229">
        <v>-224036</v>
      </c>
      <c r="J14" s="229">
        <v>-222906</v>
      </c>
    </row>
    <row r="15" spans="1:10" s="90" customFormat="1">
      <c r="A15" s="230" t="s">
        <v>564</v>
      </c>
      <c r="B15" s="230" t="s">
        <v>565</v>
      </c>
      <c r="C15" s="231">
        <v>140027619</v>
      </c>
      <c r="D15" s="231">
        <v>141597102</v>
      </c>
      <c r="E15" s="231">
        <v>143871966</v>
      </c>
      <c r="F15" s="231">
        <f>F13+F10+F7+F4</f>
        <v>146732716</v>
      </c>
      <c r="G15" s="231">
        <f>G13+G10+G7+G4</f>
        <v>146526735</v>
      </c>
      <c r="H15" s="231">
        <v>151188875</v>
      </c>
      <c r="I15" s="231">
        <v>146330995</v>
      </c>
      <c r="J15" s="231">
        <v>145987269</v>
      </c>
    </row>
    <row r="16" spans="1:10" s="90" customFormat="1">
      <c r="A16" s="232" t="s">
        <v>563</v>
      </c>
      <c r="B16" s="233" t="s">
        <v>577</v>
      </c>
      <c r="C16" s="234">
        <v>-4384322</v>
      </c>
      <c r="D16" s="234">
        <v>-4664510</v>
      </c>
      <c r="E16" s="234">
        <v>-4820071</v>
      </c>
      <c r="F16" s="234">
        <f>F14+F11+F8+F5</f>
        <v>-5117348</v>
      </c>
      <c r="G16" s="234">
        <f>G14+G11+G8+G5</f>
        <v>-5244364</v>
      </c>
      <c r="H16" s="234">
        <v>-5563558</v>
      </c>
      <c r="I16" s="234">
        <v>-5894019</v>
      </c>
      <c r="J16" s="234">
        <v>-6132157</v>
      </c>
    </row>
    <row r="17" spans="1:10" s="90" customFormat="1" ht="18" customHeight="1" thickBot="1">
      <c r="A17" s="235" t="s">
        <v>566</v>
      </c>
      <c r="B17" s="236" t="s">
        <v>567</v>
      </c>
      <c r="C17" s="237">
        <v>135643297</v>
      </c>
      <c r="D17" s="237">
        <v>136932592</v>
      </c>
      <c r="E17" s="237">
        <v>139051895</v>
      </c>
      <c r="F17" s="237">
        <f>SUM(F15:F16)</f>
        <v>141615368</v>
      </c>
      <c r="G17" s="237">
        <f>SUM(G15:G16)</f>
        <v>141282371</v>
      </c>
      <c r="H17" s="237">
        <v>145625317</v>
      </c>
      <c r="I17" s="237">
        <v>140436976</v>
      </c>
      <c r="J17" s="237">
        <v>139855112</v>
      </c>
    </row>
    <row r="22" spans="1:10">
      <c r="C22" s="3"/>
    </row>
    <row r="23" spans="1:10">
      <c r="C23" s="3"/>
    </row>
    <row r="24" spans="1:10">
      <c r="C24" s="3"/>
    </row>
    <row r="25" spans="1:10">
      <c r="C25" s="3"/>
    </row>
    <row r="26" spans="1:10">
      <c r="C26" s="3"/>
    </row>
  </sheetData>
  <customSheetViews>
    <customSheetView guid="{8FDDB7D7-275F-4F23-B770-BAF5AFA4F358}" showGridLines="0" topLeftCell="B1">
      <pane xSplit="1" ySplit="2" topLeftCell="C3" activePane="bottomRight" state="frozen"/>
      <selection pane="bottomRight" activeCell="N16" sqref="N16"/>
      <pageMargins left="0.7" right="0.7" top="0.75" bottom="0.75" header="0.3" footer="0.3"/>
    </customSheetView>
    <customSheetView guid="{12F8D032-8143-430B-8DFF-852E8796C402}" showGridLines="0" topLeftCell="B1">
      <selection activeCell="B20" sqref="B20"/>
      <pageMargins left="0.7" right="0.7" top="0.75" bottom="0.75" header="0.3" footer="0.3"/>
    </customSheetView>
    <customSheetView guid="{687A4863-1825-4D63-B732-E76682E6DE4F}" showGridLines="0">
      <selection activeCell="B25" sqref="B25"/>
      <pageMargins left="0.7" right="0.7" top="0.75" bottom="0.75" header="0.3" footer="0.3"/>
    </customSheetView>
    <customSheetView guid="{57267270-6A97-4850-9DB6-FE6B399379AA}" showGridLines="0">
      <selection activeCell="B26" sqref="B26"/>
      <pageMargins left="0.7" right="0.7" top="0.75" bottom="0.75" header="0.3" footer="0.3"/>
    </customSheetView>
    <customSheetView guid="{8DA78CF1-615A-4626-9893-6751995631A4}" showGridLines="0" topLeftCell="C1">
      <selection activeCell="J11" sqref="J11"/>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1"/>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9AF4A83C-CF57-4B40-8A74-6A0EA6C2FE5C}" showGridLines="0">
      <selection activeCell="B26" sqref="B26"/>
      <pageMargins left="0.7" right="0.7" top="0.75" bottom="0.75" header="0.3" footer="0.3"/>
    </customSheetView>
    <customSheetView guid="{746490BF-9C44-4B41-8803-BEC9E453576A}" showGridLines="0" topLeftCell="B1">
      <pane xSplit="1" ySplit="2" topLeftCell="C3" activePane="bottomRight" state="frozen"/>
      <selection pane="bottomRight" activeCell="N16" sqref="N16"/>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3" sqref="D13"/>
    </sheetView>
  </sheetViews>
  <sheetFormatPr defaultRowHeight="15"/>
  <sheetData/>
  <customSheetViews>
    <customSheetView guid="{8FDDB7D7-275F-4F23-B770-BAF5AFA4F358}" state="hidden">
      <selection activeCell="D13" sqref="D13"/>
      <pageMargins left="0.7" right="0.7" top="0.75" bottom="0.75" header="0.3" footer="0.3"/>
    </customSheetView>
    <customSheetView guid="{12F8D032-8143-430B-8DFF-852E8796C402}" state="hidden">
      <selection activeCell="D13" sqref="D13"/>
      <pageMargins left="0.7" right="0.7" top="0.75" bottom="0.75" header="0.3" footer="0.3"/>
    </customSheetView>
    <customSheetView guid="{687A4863-1825-4D63-B732-E76682E6DE4F}">
      <selection activeCell="K36" sqref="K36"/>
      <pageMargins left="0.7" right="0.7" top="0.75" bottom="0.75" header="0.3" footer="0.3"/>
    </customSheetView>
    <customSheetView guid="{8DA78CF1-615A-4626-9893-6751995631A4}">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 guid="{9AF4A83C-CF57-4B40-8A74-6A0EA6C2FE5C}">
      <selection activeCell="K36" sqref="K36"/>
      <pageMargins left="0.7" right="0.7" top="0.75" bottom="0.75" header="0.3" footer="0.3"/>
    </customSheetView>
    <customSheetView guid="{746490BF-9C44-4B41-8803-BEC9E453576A}" state="hidden">
      <selection activeCell="D13" sqref="D13"/>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3"/>
  <sheetViews>
    <sheetView zoomScaleNormal="100" zoomScaleSheetLayoutView="90" workbookViewId="0">
      <pane xSplit="3" ySplit="1" topLeftCell="D2" activePane="bottomRight" state="frozen"/>
      <selection pane="topRight" activeCell="D1" sqref="D1"/>
      <selection pane="bottomLeft" activeCell="A2" sqref="A2"/>
      <selection pane="bottomRight" activeCell="D2" sqref="D2"/>
    </sheetView>
  </sheetViews>
  <sheetFormatPr defaultColWidth="9.85546875" defaultRowHeight="14.25"/>
  <cols>
    <col min="1" max="1" width="5.140625" style="6" customWidth="1"/>
    <col min="2" max="2" width="55.42578125" style="6" customWidth="1"/>
    <col min="3" max="3" width="52.42578125" style="6" customWidth="1"/>
    <col min="4" max="19" width="13.42578125" style="6" customWidth="1"/>
    <col min="20" max="20" width="12" style="6" customWidth="1"/>
    <col min="21" max="21" width="10.42578125" style="6" bestFit="1" customWidth="1"/>
    <col min="22" max="16384" width="9.85546875" style="6"/>
  </cols>
  <sheetData>
    <row r="1" spans="2:19" s="21" customFormat="1" ht="32.25" customHeight="1" thickBot="1">
      <c r="B1" s="4" t="s">
        <v>337</v>
      </c>
      <c r="C1" s="4" t="s">
        <v>316</v>
      </c>
      <c r="D1" s="256" t="s">
        <v>165</v>
      </c>
      <c r="E1" s="256" t="s">
        <v>166</v>
      </c>
      <c r="F1" s="256" t="s">
        <v>167</v>
      </c>
      <c r="G1" s="256" t="s">
        <v>168</v>
      </c>
      <c r="H1" s="325">
        <v>43101</v>
      </c>
      <c r="I1" s="256" t="s">
        <v>169</v>
      </c>
      <c r="J1" s="256" t="s">
        <v>170</v>
      </c>
      <c r="K1" s="256" t="s">
        <v>171</v>
      </c>
      <c r="L1" s="257">
        <v>43465</v>
      </c>
      <c r="M1" s="280">
        <v>43555</v>
      </c>
      <c r="N1" s="257">
        <v>43646</v>
      </c>
      <c r="O1" s="257">
        <v>43738</v>
      </c>
      <c r="P1" s="257">
        <v>43830</v>
      </c>
      <c r="Q1" s="325">
        <v>43921</v>
      </c>
      <c r="R1" s="325">
        <v>44012</v>
      </c>
      <c r="S1" s="325">
        <v>44104</v>
      </c>
    </row>
    <row r="2" spans="2:19" ht="15" customHeight="1">
      <c r="B2" s="22" t="s">
        <v>61</v>
      </c>
      <c r="C2" s="22" t="s">
        <v>16</v>
      </c>
    </row>
    <row r="3" spans="2:19"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row>
    <row r="4" spans="2:19"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row>
    <row r="5" spans="2:19"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row>
    <row r="6" spans="2:19"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row>
    <row r="7" spans="2:19"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row>
    <row r="8" spans="2:19"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row>
    <row r="9" spans="2:19"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row>
    <row r="10" spans="2:19"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row>
    <row r="11" spans="2:19"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row>
    <row r="12" spans="2:19"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row>
    <row r="13" spans="2:19"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row>
    <row r="14" spans="2:19"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row>
    <row r="15" spans="2:19"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row>
    <row r="16" spans="2:19" ht="27" customHeight="1">
      <c r="B16" s="430" t="s">
        <v>683</v>
      </c>
      <c r="C16" s="428" t="s">
        <v>682</v>
      </c>
      <c r="D16" s="9"/>
      <c r="E16" s="9"/>
      <c r="F16" s="9"/>
      <c r="G16" s="9"/>
      <c r="H16" s="9"/>
      <c r="I16" s="9"/>
      <c r="J16" s="9"/>
      <c r="K16" s="9"/>
      <c r="L16" s="9"/>
      <c r="M16" s="9"/>
      <c r="N16" s="9"/>
      <c r="O16" s="9"/>
      <c r="P16" s="9"/>
      <c r="Q16" s="9"/>
      <c r="R16" s="9"/>
      <c r="S16" s="9">
        <v>105973</v>
      </c>
    </row>
    <row r="17" spans="2:21" ht="27" customHeight="1">
      <c r="B17" s="8" t="s">
        <v>630</v>
      </c>
      <c r="C17" s="8" t="s">
        <v>631</v>
      </c>
      <c r="D17" s="9">
        <f>D70--D73</f>
        <v>0</v>
      </c>
      <c r="E17" s="9">
        <f>E70--E73</f>
        <v>0</v>
      </c>
      <c r="F17" s="9">
        <f>F70--F73</f>
        <v>0</v>
      </c>
      <c r="G17" s="9">
        <f>G70--G73</f>
        <v>0</v>
      </c>
      <c r="H17" s="9">
        <v>2385727</v>
      </c>
      <c r="I17" s="9">
        <v>2607112</v>
      </c>
      <c r="J17" s="9">
        <v>1638155</v>
      </c>
      <c r="K17" s="9">
        <v>2746983</v>
      </c>
      <c r="L17" s="9">
        <v>1708744</v>
      </c>
      <c r="M17" s="9">
        <v>1601898</v>
      </c>
      <c r="N17" s="9">
        <v>1216615</v>
      </c>
      <c r="O17" s="9">
        <v>1167517</v>
      </c>
      <c r="P17" s="9">
        <v>1089558</v>
      </c>
      <c r="Q17" s="9">
        <v>1152234</v>
      </c>
      <c r="R17" s="9">
        <v>1129955</v>
      </c>
      <c r="S17" s="9">
        <v>828689</v>
      </c>
    </row>
    <row r="18" spans="2:21"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v>947922</v>
      </c>
      <c r="S18" s="9">
        <v>978234</v>
      </c>
    </row>
    <row r="19" spans="2:21"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row>
    <row r="20" spans="2:21"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row>
    <row r="21" spans="2:21"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row>
    <row r="22" spans="2:21"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751195</v>
      </c>
      <c r="S22" s="9">
        <v>735823</v>
      </c>
    </row>
    <row r="23" spans="2:21"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row>
    <row r="24" spans="2:21"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row>
    <row r="25" spans="2:21"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row>
    <row r="26" spans="2:21"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row>
    <row r="27" spans="2:21"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v>209476166</v>
      </c>
      <c r="Q27" s="24">
        <v>215899523</v>
      </c>
      <c r="R27" s="24">
        <v>221609230</v>
      </c>
      <c r="S27" s="24">
        <f>S3+S4+S5+S6+S10+S12+S18+S19+S20+S21+S22+S24+S25+S26+S17</f>
        <v>222833964</v>
      </c>
      <c r="U27" s="429"/>
    </row>
    <row r="28" spans="2:21" ht="15" customHeight="1">
      <c r="B28" s="25" t="s">
        <v>72</v>
      </c>
      <c r="C28" s="25" t="s">
        <v>26</v>
      </c>
      <c r="D28" s="9"/>
      <c r="E28" s="9"/>
      <c r="F28" s="9"/>
      <c r="G28" s="9"/>
      <c r="H28" s="9"/>
      <c r="I28" s="9"/>
      <c r="J28" s="9"/>
      <c r="K28" s="9"/>
      <c r="L28" s="9"/>
      <c r="M28" s="9"/>
      <c r="N28" s="9"/>
      <c r="O28" s="9"/>
      <c r="P28" s="9"/>
      <c r="Q28" s="9"/>
      <c r="R28" s="9"/>
    </row>
    <row r="29" spans="2:21"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v>5370650</v>
      </c>
      <c r="S29" s="9">
        <v>5188853</v>
      </c>
    </row>
    <row r="30" spans="2:21" ht="26.45" customHeight="1">
      <c r="B30" s="8" t="s">
        <v>336</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row>
    <row r="31" spans="2:21"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row>
    <row r="32" spans="2:21"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row>
    <row r="33" spans="2:19"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row>
    <row r="34" spans="2:19"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row>
    <row r="35" spans="2:19"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row>
    <row r="36" spans="2:19"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row>
    <row r="37" spans="2:19" ht="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row>
    <row r="38" spans="2:19"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row>
    <row r="39" spans="2:19"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row>
    <row r="40" spans="2:19"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v>182496656</v>
      </c>
      <c r="Q40" s="27">
        <v>188658010</v>
      </c>
      <c r="R40" s="27">
        <v>193721721</v>
      </c>
      <c r="S40" s="27">
        <f>SUM(S29:S39)</f>
        <v>194377935</v>
      </c>
    </row>
    <row r="41" spans="2:19" ht="15" customHeight="1">
      <c r="B41" s="25" t="s">
        <v>79</v>
      </c>
      <c r="C41" s="25" t="s">
        <v>35</v>
      </c>
      <c r="D41" s="9"/>
      <c r="E41" s="9"/>
      <c r="F41" s="9"/>
      <c r="G41" s="9"/>
      <c r="H41" s="9"/>
      <c r="I41" s="9"/>
      <c r="J41" s="9"/>
      <c r="K41" s="9"/>
      <c r="L41" s="9"/>
      <c r="M41" s="9"/>
      <c r="N41" s="9"/>
      <c r="O41" s="9"/>
      <c r="P41" s="9"/>
      <c r="Q41" s="9"/>
      <c r="R41" s="9"/>
      <c r="S41" s="9"/>
    </row>
    <row r="42" spans="2:19"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v>25431987</v>
      </c>
      <c r="Q42" s="27">
        <v>25635076</v>
      </c>
      <c r="R42" s="27">
        <v>26317842</v>
      </c>
      <c r="S42" s="27">
        <f>SUM(S43:S47)</f>
        <v>26826490</v>
      </c>
    </row>
    <row r="43" spans="2:19"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row>
    <row r="44" spans="2:19"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row>
    <row r="45" spans="2:19"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row>
    <row r="46" spans="2:19"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row>
    <row r="47" spans="2:19"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row>
    <row r="48" spans="2:19"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8">
        <v>1547523</v>
      </c>
      <c r="Q48" s="28">
        <v>1606437</v>
      </c>
      <c r="R48" s="28">
        <v>1569667</v>
      </c>
      <c r="S48" s="28">
        <v>1629539</v>
      </c>
    </row>
    <row r="49" spans="2:19"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v>26979510</v>
      </c>
      <c r="Q49" s="27">
        <v>27241513</v>
      </c>
      <c r="R49" s="27">
        <v>27887509</v>
      </c>
      <c r="S49" s="27">
        <f>S42+S48</f>
        <v>28456029</v>
      </c>
    </row>
    <row r="50" spans="2:19" s="296" customFormat="1" ht="15" customHeight="1">
      <c r="B50" s="404" t="s">
        <v>267</v>
      </c>
      <c r="C50" s="404" t="s">
        <v>42</v>
      </c>
      <c r="D50" s="405">
        <v>147038306</v>
      </c>
      <c r="E50" s="405">
        <v>150005625</v>
      </c>
      <c r="F50" s="405">
        <v>152027395</v>
      </c>
      <c r="G50" s="405">
        <v>157194589</v>
      </c>
      <c r="H50" s="405">
        <v>156955344</v>
      </c>
      <c r="I50" s="405">
        <v>159841934</v>
      </c>
      <c r="J50" s="405">
        <v>171840340</v>
      </c>
      <c r="K50" s="405">
        <v>179895530</v>
      </c>
      <c r="L50" s="405">
        <v>206656303</v>
      </c>
      <c r="M50" s="405">
        <v>209028511</v>
      </c>
      <c r="N50" s="405">
        <v>205901246</v>
      </c>
      <c r="O50" s="405">
        <v>204072985</v>
      </c>
      <c r="P50" s="405">
        <v>209476166</v>
      </c>
      <c r="Q50" s="405">
        <v>215899523</v>
      </c>
      <c r="R50" s="405">
        <v>221609230</v>
      </c>
      <c r="S50" s="405">
        <f>S40+S49</f>
        <v>222833964</v>
      </c>
    </row>
    <row r="51" spans="2:19" s="296" customFormat="1"/>
    <row r="52" spans="2:19" s="296" customFormat="1">
      <c r="S52" s="427"/>
    </row>
    <row r="53" spans="2:19">
      <c r="S53" s="454"/>
    </row>
    <row r="54" spans="2:19">
      <c r="S54" s="454"/>
    </row>
    <row r="55" spans="2:19">
      <c r="S55" s="455"/>
    </row>
    <row r="56" spans="2:19">
      <c r="S56" s="456"/>
    </row>
    <row r="57" spans="2:19">
      <c r="S57" s="456"/>
    </row>
    <row r="58" spans="2:19">
      <c r="S58" s="456"/>
    </row>
    <row r="59" spans="2:19">
      <c r="S59" s="456"/>
    </row>
    <row r="60" spans="2:19">
      <c r="S60" s="455"/>
    </row>
    <row r="61" spans="2:19">
      <c r="S61" s="455"/>
    </row>
    <row r="62" spans="2:19">
      <c r="S62" s="454"/>
    </row>
    <row r="63" spans="2:19">
      <c r="S63" s="456"/>
    </row>
    <row r="64" spans="2:19">
      <c r="S64" s="456"/>
    </row>
    <row r="65" spans="19:19">
      <c r="S65" s="456"/>
    </row>
    <row r="66" spans="19:19">
      <c r="S66" s="456"/>
    </row>
    <row r="67" spans="19:19">
      <c r="S67" s="455"/>
    </row>
    <row r="68" spans="19:19">
      <c r="S68" s="456"/>
    </row>
    <row r="69" spans="19:19">
      <c r="S69" s="456"/>
    </row>
    <row r="70" spans="19:19">
      <c r="S70" s="457"/>
    </row>
    <row r="71" spans="19:19">
      <c r="S71" s="457"/>
    </row>
    <row r="72" spans="19:19">
      <c r="S72" s="457"/>
    </row>
    <row r="73" spans="19:19">
      <c r="S73" s="457"/>
    </row>
    <row r="74" spans="19:19">
      <c r="S74" s="457"/>
    </row>
    <row r="75" spans="19:19">
      <c r="S75" s="457"/>
    </row>
    <row r="76" spans="19:19">
      <c r="S76" s="455"/>
    </row>
    <row r="77" spans="19:19">
      <c r="S77" s="458"/>
    </row>
    <row r="78" spans="19:19">
      <c r="S78" s="459"/>
    </row>
    <row r="79" spans="19:19">
      <c r="S79" s="459"/>
    </row>
    <row r="80" spans="19:19">
      <c r="S80" s="459"/>
    </row>
    <row r="81" spans="19:19">
      <c r="S81" s="459"/>
    </row>
    <row r="82" spans="19:19">
      <c r="S82" s="459"/>
    </row>
    <row r="83" spans="19:19">
      <c r="S83" s="296"/>
    </row>
  </sheetData>
  <customSheetViews>
    <customSheetView guid="{8FDDB7D7-275F-4F23-B770-BAF5AFA4F358}">
      <pane xSplit="3" ySplit="1" topLeftCell="D2" activePane="bottomRight" state="frozen"/>
      <selection pane="bottomRight" activeCell="D2" sqref="D2"/>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12F8D032-8143-430B-8DFF-852E8796C402}"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DA78CF1-615A-4626-9893-6751995631A4}" hiddenRows="1" topLeftCell="D1">
      <selection activeCell="N82" sqref="N82"/>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99D69CD-4B7E-42BC-9944-5BD922EB798C}" showPageBreaks="1" printArea="1" topLeftCell="C1">
      <pane xSplit="1" ySplit="1" topLeftCell="M2" activePane="bottomRight" state="frozen"/>
      <selection pane="bottomRight" activeCell="T20" sqref="T20"/>
      <pageMargins left="0" right="0" top="0.98425196850393704" bottom="0.98425196850393704" header="0.51181102362204722" footer="0.51181102362204722"/>
      <pageSetup paperSize="9" scale="48" orientation="landscape" r:id="rId6"/>
      <headerFooter alignWithMargins="0"/>
    </customSheetView>
    <customSheetView guid="{9AF4A83C-CF57-4B40-8A74-6A0EA6C2FE5C}" showPageBreaks="1" printArea="1" hiddenColumns="1" topLeftCell="A19">
      <selection activeCell="S31" sqref="S31"/>
      <pageMargins left="0.98425196850393704" right="0.98425196850393704" top="0.98425196850393704" bottom="0.98425196850393704" header="0.51181102362204722" footer="0.51181102362204722"/>
      <pageSetup paperSize="9" scale="37" orientation="landscape" r:id="rId7"/>
      <headerFooter alignWithMargins="0"/>
    </customSheetView>
    <customSheetView guid="{746490BF-9C44-4B41-8803-BEC9E453576A}">
      <pane xSplit="3" ySplit="1" topLeftCell="D2" activePane="bottomRight" state="frozen"/>
      <selection pane="bottomRight" activeCell="D2" sqref="D2"/>
      <pageMargins left="0.98425196850393704" right="0.98425196850393704" top="0.98425196850393704" bottom="0.98425196850393704" header="0.51181102362204722" footer="0.51181102362204722"/>
      <pageSetup paperSize="9" scale="37" orientation="landscape" r:id="rId8"/>
      <headerFooter alignWithMargins="0"/>
    </customSheetView>
  </customSheetViews>
  <pageMargins left="0.98425196850393704" right="0.98425196850393704" top="0.98425196850393704" bottom="0.98425196850393704" header="0.51181102362204722" footer="0.51181102362204722"/>
  <pageSetup paperSize="9" scale="37" orientation="landscape" r:id="rId9"/>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abSelected="1" zoomScale="130" zoomScaleNormal="130" workbookViewId="0">
      <pane xSplit="6" ySplit="3" topLeftCell="G4" activePane="bottomRight" state="frozen"/>
      <selection pane="topRight" activeCell="G1" sqref="G1"/>
      <selection pane="bottomLeft" activeCell="A4" sqref="A4"/>
      <selection pane="bottomRight" activeCell="H20" sqref="H20"/>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1" width="16.85546875" style="133" customWidth="1"/>
    <col min="22"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c r="U1" s="140"/>
    </row>
    <row r="2" spans="3:28" ht="26.25" customHeight="1">
      <c r="C2" s="131" t="s">
        <v>698</v>
      </c>
      <c r="D2" s="131" t="s">
        <v>477</v>
      </c>
      <c r="E2" s="131"/>
      <c r="F2" s="131"/>
      <c r="G2" s="132"/>
      <c r="H2" s="131"/>
      <c r="I2" s="131"/>
      <c r="J2" s="131"/>
      <c r="K2" s="132"/>
      <c r="L2" s="131"/>
      <c r="M2" s="131"/>
      <c r="N2" s="131"/>
      <c r="O2" s="131"/>
      <c r="P2" s="131"/>
      <c r="Q2" s="131"/>
      <c r="R2" s="131"/>
      <c r="S2" s="131"/>
      <c r="T2" s="131"/>
      <c r="U2" s="131"/>
    </row>
    <row r="3" spans="3:28" ht="15.75" customHeight="1" thickBot="1">
      <c r="C3" s="134" t="s">
        <v>468</v>
      </c>
      <c r="D3" s="134" t="s">
        <v>478</v>
      </c>
      <c r="E3" s="134"/>
      <c r="F3" s="134"/>
      <c r="G3" s="217" t="s">
        <v>499</v>
      </c>
      <c r="H3" s="217" t="s">
        <v>166</v>
      </c>
      <c r="I3" s="217" t="s">
        <v>167</v>
      </c>
      <c r="J3" s="217" t="s">
        <v>488</v>
      </c>
      <c r="K3" s="217" t="s">
        <v>467</v>
      </c>
      <c r="L3" s="217" t="s">
        <v>170</v>
      </c>
      <c r="M3" s="217" t="s">
        <v>171</v>
      </c>
      <c r="N3" s="217" t="s">
        <v>487</v>
      </c>
      <c r="O3" s="217" t="s">
        <v>466</v>
      </c>
      <c r="P3" s="135" t="s">
        <v>596</v>
      </c>
      <c r="Q3" s="135" t="s">
        <v>626</v>
      </c>
      <c r="R3" s="135" t="s">
        <v>660</v>
      </c>
      <c r="S3" s="420">
        <v>43921</v>
      </c>
      <c r="T3" s="420">
        <v>44012</v>
      </c>
      <c r="U3" s="420">
        <v>44104</v>
      </c>
    </row>
    <row r="4" spans="3:28" ht="12" customHeight="1">
      <c r="C4" s="136" t="s">
        <v>582</v>
      </c>
      <c r="D4" s="136" t="s">
        <v>583</v>
      </c>
      <c r="E4" s="137" t="s">
        <v>493</v>
      </c>
      <c r="F4" s="137" t="s">
        <v>495</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6719</v>
      </c>
      <c r="V4" s="293"/>
      <c r="W4" s="293"/>
      <c r="X4" s="293"/>
      <c r="Y4" s="293"/>
      <c r="Z4" s="293"/>
      <c r="AA4" s="293"/>
      <c r="AB4" s="293"/>
    </row>
    <row r="5" spans="3:28" ht="12" customHeight="1">
      <c r="C5" s="238" t="s">
        <v>580</v>
      </c>
      <c r="D5" s="136" t="s">
        <v>581</v>
      </c>
      <c r="E5" s="137" t="s">
        <v>494</v>
      </c>
      <c r="F5" s="137" t="s">
        <v>495</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2880</v>
      </c>
      <c r="V5" s="293"/>
      <c r="W5" s="293"/>
      <c r="X5" s="293"/>
      <c r="Y5" s="293"/>
      <c r="Z5" s="293"/>
      <c r="AA5" s="293"/>
      <c r="AB5" s="293"/>
    </row>
    <row r="6" spans="3:28" ht="12" customHeight="1">
      <c r="C6" s="136" t="s">
        <v>586</v>
      </c>
      <c r="D6" s="136" t="s">
        <v>587</v>
      </c>
      <c r="E6" s="137" t="s">
        <v>494</v>
      </c>
      <c r="F6" s="137" t="s">
        <v>495</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1895</v>
      </c>
      <c r="V6" s="293"/>
      <c r="W6" s="293"/>
      <c r="X6" s="293"/>
      <c r="Y6" s="293"/>
      <c r="Z6" s="293"/>
      <c r="AA6" s="293"/>
      <c r="AB6" s="293"/>
    </row>
    <row r="7" spans="3:28" ht="10.5" customHeight="1">
      <c r="C7" s="206" t="s">
        <v>469</v>
      </c>
      <c r="D7" s="206" t="s">
        <v>479</v>
      </c>
      <c r="E7" s="207" t="s">
        <v>494</v>
      </c>
      <c r="F7" s="207" t="s">
        <v>495</v>
      </c>
      <c r="G7" s="214">
        <v>3470</v>
      </c>
      <c r="H7" s="214">
        <v>3471</v>
      </c>
      <c r="I7" s="214">
        <v>3538</v>
      </c>
      <c r="J7" s="214">
        <v>3624</v>
      </c>
      <c r="K7" s="214">
        <v>3630</v>
      </c>
      <c r="L7" s="214">
        <v>3694</v>
      </c>
      <c r="M7" s="214">
        <v>3761</v>
      </c>
      <c r="N7" s="214">
        <v>3981</v>
      </c>
      <c r="O7" s="214">
        <v>4082</v>
      </c>
      <c r="P7" s="287">
        <v>4054</v>
      </c>
      <c r="Q7" s="287">
        <v>4136</v>
      </c>
      <c r="R7" s="287">
        <v>4163</v>
      </c>
      <c r="S7" s="287">
        <v>4214</v>
      </c>
      <c r="T7" s="287">
        <v>4231</v>
      </c>
      <c r="U7" s="287">
        <v>4248</v>
      </c>
      <c r="V7" s="293"/>
      <c r="W7" s="293"/>
      <c r="X7" s="293"/>
      <c r="Y7" s="293"/>
      <c r="Z7" s="293"/>
      <c r="AA7" s="293"/>
      <c r="AB7" s="293"/>
    </row>
    <row r="8" spans="3:28" ht="10.5" customHeight="1">
      <c r="C8" s="138" t="s">
        <v>470</v>
      </c>
      <c r="D8" s="138" t="s">
        <v>480</v>
      </c>
      <c r="E8" s="139" t="s">
        <v>493</v>
      </c>
      <c r="F8" s="139" t="s">
        <v>495</v>
      </c>
      <c r="G8" s="147">
        <v>1225</v>
      </c>
      <c r="H8" s="147">
        <v>1233</v>
      </c>
      <c r="I8" s="147">
        <v>1257</v>
      </c>
      <c r="J8" s="147">
        <v>1271</v>
      </c>
      <c r="K8" s="147">
        <v>1272</v>
      </c>
      <c r="L8" s="147">
        <v>1273</v>
      </c>
      <c r="M8" s="147">
        <v>1279</v>
      </c>
      <c r="N8" s="147">
        <v>1325</v>
      </c>
      <c r="O8" s="147">
        <v>1331</v>
      </c>
      <c r="P8" s="215">
        <v>1302</v>
      </c>
      <c r="Q8" s="215">
        <v>1289</v>
      </c>
      <c r="R8" s="215">
        <v>1270</v>
      </c>
      <c r="S8" s="215">
        <v>1243</v>
      </c>
      <c r="T8" s="215">
        <v>1237</v>
      </c>
      <c r="U8" s="215">
        <v>1230</v>
      </c>
      <c r="V8" s="293"/>
      <c r="W8" s="293"/>
      <c r="X8" s="293"/>
      <c r="Y8" s="293"/>
      <c r="Z8" s="293"/>
      <c r="AA8" s="293"/>
      <c r="AB8" s="293"/>
    </row>
    <row r="9" spans="3:28" ht="12" customHeight="1">
      <c r="C9" s="136" t="s">
        <v>471</v>
      </c>
      <c r="D9" s="136" t="s">
        <v>481</v>
      </c>
      <c r="E9" s="137" t="s">
        <v>493</v>
      </c>
      <c r="F9" s="137" t="s">
        <v>495</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293"/>
      <c r="W9" s="293"/>
      <c r="X9" s="293"/>
      <c r="Y9" s="293"/>
      <c r="Z9" s="293"/>
      <c r="AA9" s="293"/>
      <c r="AB9" s="293"/>
    </row>
    <row r="10" spans="3:28" ht="12" customHeight="1">
      <c r="C10" s="208" t="s">
        <v>496</v>
      </c>
      <c r="D10" s="208" t="s">
        <v>497</v>
      </c>
      <c r="E10" s="209" t="s">
        <v>493</v>
      </c>
      <c r="F10" s="209" t="s">
        <v>495</v>
      </c>
      <c r="G10" s="215">
        <v>3935</v>
      </c>
      <c r="H10" s="215">
        <v>3977</v>
      </c>
      <c r="I10" s="215">
        <v>3916</v>
      </c>
      <c r="J10" s="215">
        <v>3954</v>
      </c>
      <c r="K10" s="215">
        <v>3993</v>
      </c>
      <c r="L10" s="215">
        <v>4050</v>
      </c>
      <c r="M10" s="215">
        <v>4103</v>
      </c>
      <c r="N10" s="215">
        <v>4459</v>
      </c>
      <c r="O10" s="215">
        <v>4490</v>
      </c>
      <c r="P10" s="215">
        <v>4535</v>
      </c>
      <c r="Q10" s="215">
        <v>4598</v>
      </c>
      <c r="R10" s="215">
        <v>4643</v>
      </c>
      <c r="S10" s="215">
        <v>4720</v>
      </c>
      <c r="T10" s="215">
        <v>4765</v>
      </c>
      <c r="U10" s="215">
        <v>4844</v>
      </c>
      <c r="V10" s="293"/>
      <c r="W10" s="293"/>
      <c r="X10" s="293"/>
      <c r="Y10" s="293"/>
      <c r="Z10" s="293"/>
      <c r="AA10" s="293"/>
      <c r="AB10" s="293"/>
    </row>
    <row r="11" spans="3:28" ht="12" customHeight="1">
      <c r="C11" s="136" t="s">
        <v>472</v>
      </c>
      <c r="D11" s="136" t="s">
        <v>482</v>
      </c>
      <c r="E11" s="137" t="s">
        <v>473</v>
      </c>
      <c r="F11" s="137" t="s">
        <v>483</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293"/>
      <c r="W11" s="293"/>
      <c r="X11" s="293"/>
      <c r="Y11" s="293"/>
      <c r="Z11" s="293"/>
      <c r="AA11" s="293"/>
      <c r="AB11" s="293"/>
    </row>
    <row r="12" spans="3:28" ht="12" customHeight="1">
      <c r="C12" s="136" t="s">
        <v>474</v>
      </c>
      <c r="D12" s="136" t="s">
        <v>484</v>
      </c>
      <c r="E12" s="137" t="s">
        <v>473</v>
      </c>
      <c r="F12" s="137" t="s">
        <v>483</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293"/>
      <c r="W12" s="293"/>
      <c r="X12" s="293"/>
      <c r="Y12" s="293"/>
      <c r="Z12" s="293"/>
      <c r="AA12" s="293"/>
      <c r="AB12" s="293"/>
    </row>
    <row r="13" spans="3:28" ht="12" customHeight="1">
      <c r="C13" s="136" t="s">
        <v>677</v>
      </c>
      <c r="D13" s="136" t="s">
        <v>678</v>
      </c>
      <c r="E13" s="137" t="s">
        <v>473</v>
      </c>
      <c r="F13" s="137" t="s">
        <v>483</v>
      </c>
      <c r="G13" s="461"/>
      <c r="H13" s="461"/>
      <c r="I13" s="461"/>
      <c r="J13" s="461"/>
      <c r="K13" s="461"/>
      <c r="L13" s="461"/>
      <c r="M13" s="461"/>
      <c r="N13" s="461"/>
      <c r="O13" s="461"/>
      <c r="P13" s="461"/>
      <c r="Q13" s="461"/>
      <c r="R13" s="144">
        <v>10</v>
      </c>
      <c r="S13" s="144">
        <v>11</v>
      </c>
      <c r="T13" s="144">
        <v>11</v>
      </c>
      <c r="U13" s="144">
        <v>12</v>
      </c>
      <c r="V13" s="293"/>
      <c r="W13" s="293"/>
      <c r="X13" s="293"/>
      <c r="Y13" s="293"/>
      <c r="Z13" s="293"/>
      <c r="AA13" s="293"/>
      <c r="AB13" s="293"/>
    </row>
    <row r="14" spans="3:28" ht="12" customHeight="1">
      <c r="C14" s="208" t="s">
        <v>489</v>
      </c>
      <c r="D14" s="208" t="s">
        <v>498</v>
      </c>
      <c r="E14" s="209" t="s">
        <v>490</v>
      </c>
      <c r="F14" s="209" t="s">
        <v>491</v>
      </c>
      <c r="G14" s="215">
        <v>1753</v>
      </c>
      <c r="H14" s="215">
        <v>1741</v>
      </c>
      <c r="I14" s="215">
        <v>1726</v>
      </c>
      <c r="J14" s="215">
        <v>1732</v>
      </c>
      <c r="K14" s="215">
        <v>1744</v>
      </c>
      <c r="L14" s="215">
        <v>1739</v>
      </c>
      <c r="M14" s="215">
        <v>1725</v>
      </c>
      <c r="N14" s="215">
        <v>1762</v>
      </c>
      <c r="O14" s="215">
        <v>1746</v>
      </c>
      <c r="P14" s="215">
        <v>1726</v>
      </c>
      <c r="Q14" s="215">
        <v>1716</v>
      </c>
      <c r="R14" s="215">
        <v>1700</v>
      </c>
      <c r="S14" s="215">
        <v>1697</v>
      </c>
      <c r="T14" s="215">
        <v>1682</v>
      </c>
      <c r="U14" s="215">
        <v>1674</v>
      </c>
      <c r="V14" s="293"/>
      <c r="W14" s="293"/>
      <c r="X14" s="293"/>
      <c r="Y14" s="293"/>
      <c r="Z14" s="293"/>
      <c r="AA14" s="293"/>
      <c r="AB14" s="293"/>
    </row>
    <row r="15" spans="3:28" ht="12" customHeight="1">
      <c r="C15" s="210" t="s">
        <v>475</v>
      </c>
      <c r="D15" s="211" t="s">
        <v>485</v>
      </c>
      <c r="E15" s="212" t="s">
        <v>476</v>
      </c>
      <c r="F15" s="213" t="s">
        <v>486</v>
      </c>
      <c r="G15" s="216">
        <v>14699</v>
      </c>
      <c r="H15" s="216">
        <v>14558</v>
      </c>
      <c r="I15" s="216">
        <v>14473</v>
      </c>
      <c r="J15" s="216">
        <v>14383</v>
      </c>
      <c r="K15" s="216">
        <v>14330</v>
      </c>
      <c r="L15" s="216">
        <v>14286</v>
      </c>
      <c r="M15" s="216">
        <v>14030</v>
      </c>
      <c r="N15" s="216">
        <v>15347</v>
      </c>
      <c r="O15" s="216">
        <v>14642</v>
      </c>
      <c r="P15" s="215">
        <v>14058</v>
      </c>
      <c r="Q15" s="215">
        <v>13630</v>
      </c>
      <c r="R15" s="215">
        <v>13642</v>
      </c>
      <c r="S15" s="215">
        <v>13383</v>
      </c>
      <c r="T15" s="215">
        <v>13201</v>
      </c>
      <c r="U15" s="215">
        <v>12788</v>
      </c>
      <c r="V15" s="293"/>
      <c r="W15" s="293"/>
      <c r="X15" s="293"/>
      <c r="Y15" s="293"/>
      <c r="Z15" s="293"/>
      <c r="AA15" s="293"/>
      <c r="AB15" s="293"/>
    </row>
    <row r="16" spans="3:28" ht="15.6" customHeight="1" thickBot="1">
      <c r="C16" s="134" t="s">
        <v>555</v>
      </c>
      <c r="D16" s="134" t="s">
        <v>556</v>
      </c>
      <c r="E16" s="134"/>
      <c r="F16" s="134"/>
      <c r="G16" s="217" t="s">
        <v>499</v>
      </c>
      <c r="H16" s="217" t="s">
        <v>166</v>
      </c>
      <c r="I16" s="217" t="s">
        <v>167</v>
      </c>
      <c r="J16" s="217" t="s">
        <v>488</v>
      </c>
      <c r="K16" s="217" t="s">
        <v>467</v>
      </c>
      <c r="L16" s="217" t="s">
        <v>170</v>
      </c>
      <c r="M16" s="217" t="s">
        <v>171</v>
      </c>
      <c r="N16" s="217" t="s">
        <v>487</v>
      </c>
      <c r="O16" s="217" t="s">
        <v>466</v>
      </c>
      <c r="P16" s="217" t="s">
        <v>596</v>
      </c>
      <c r="Q16" s="217" t="s">
        <v>626</v>
      </c>
      <c r="R16" s="217" t="s">
        <v>626</v>
      </c>
      <c r="S16" s="421">
        <f>S3</f>
        <v>43921</v>
      </c>
      <c r="T16" s="421">
        <v>44012</v>
      </c>
      <c r="U16" s="421">
        <v>44012</v>
      </c>
      <c r="V16" s="293"/>
      <c r="W16" s="293"/>
      <c r="X16" s="293"/>
      <c r="Y16" s="293"/>
      <c r="Z16" s="293"/>
      <c r="AA16" s="293"/>
      <c r="AB16" s="293"/>
    </row>
    <row r="17" spans="1:28" ht="14.45" customHeight="1">
      <c r="C17" s="143" t="s">
        <v>680</v>
      </c>
      <c r="D17" s="143" t="s">
        <v>681</v>
      </c>
      <c r="E17" s="139" t="s">
        <v>557</v>
      </c>
      <c r="F17" s="139" t="s">
        <v>558</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U17" s="147">
        <v>14535650</v>
      </c>
      <c r="V17" s="293"/>
      <c r="W17" s="293"/>
      <c r="X17" s="293"/>
      <c r="Y17" s="293"/>
      <c r="Z17" s="293"/>
      <c r="AA17" s="293"/>
      <c r="AB17" s="293"/>
    </row>
    <row r="18" spans="1:28" ht="12" customHeight="1">
      <c r="C18" s="142"/>
      <c r="D18" s="142"/>
      <c r="E18" s="142"/>
      <c r="F18" s="142"/>
      <c r="G18" s="219"/>
      <c r="H18" s="219"/>
      <c r="I18" s="219"/>
      <c r="J18" s="219"/>
      <c r="K18" s="219"/>
      <c r="L18" s="219"/>
      <c r="M18" s="219"/>
      <c r="N18" s="219"/>
      <c r="O18" s="219"/>
      <c r="P18" s="219"/>
      <c r="Q18" s="219"/>
      <c r="R18" s="219"/>
      <c r="S18" s="219"/>
      <c r="T18" s="219"/>
      <c r="U18" s="219"/>
    </row>
    <row r="19" spans="1:28" ht="54" customHeight="1">
      <c r="A19" s="239"/>
      <c r="B19" s="240" t="s">
        <v>579</v>
      </c>
      <c r="C19" s="241" t="s">
        <v>692</v>
      </c>
      <c r="D19" s="247" t="s">
        <v>696</v>
      </c>
      <c r="G19" s="218"/>
      <c r="H19" s="218"/>
      <c r="I19" s="218"/>
      <c r="J19" s="218"/>
      <c r="K19" s="218"/>
      <c r="L19" s="218"/>
      <c r="M19" s="218"/>
      <c r="N19" s="218"/>
      <c r="O19" s="218"/>
    </row>
    <row r="20" spans="1:28" ht="60" customHeight="1">
      <c r="A20" s="239"/>
      <c r="B20" s="240" t="s">
        <v>578</v>
      </c>
      <c r="C20" s="241" t="s">
        <v>693</v>
      </c>
      <c r="D20" s="247" t="s">
        <v>694</v>
      </c>
      <c r="G20" s="218"/>
      <c r="H20" s="218"/>
      <c r="I20" s="218"/>
      <c r="J20" s="218"/>
      <c r="K20" s="218"/>
      <c r="L20" s="218"/>
      <c r="M20" s="218"/>
      <c r="N20" s="218"/>
      <c r="O20" s="218"/>
    </row>
    <row r="21" spans="1:28" ht="21.6" customHeight="1">
      <c r="B21" s="240" t="s">
        <v>453</v>
      </c>
      <c r="C21" s="241" t="s">
        <v>679</v>
      </c>
      <c r="D21" s="247" t="s">
        <v>695</v>
      </c>
      <c r="G21" s="218"/>
      <c r="H21" s="218"/>
      <c r="I21" s="218"/>
      <c r="J21" s="218"/>
      <c r="K21" s="218"/>
      <c r="L21" s="218"/>
      <c r="M21" s="218"/>
      <c r="N21" s="218"/>
      <c r="O21" s="218"/>
    </row>
    <row r="22" spans="1:28" ht="21" customHeight="1">
      <c r="B22" s="240" t="s">
        <v>454</v>
      </c>
      <c r="C22" s="241" t="s">
        <v>584</v>
      </c>
      <c r="D22" s="247" t="s">
        <v>585</v>
      </c>
      <c r="H22" s="145"/>
      <c r="K22" s="145"/>
      <c r="L22" s="145"/>
      <c r="N22" s="145"/>
      <c r="O22" s="145"/>
      <c r="P22" s="145"/>
      <c r="Q22" s="145"/>
      <c r="R22" s="145"/>
      <c r="S22" s="145"/>
      <c r="T22" s="145"/>
      <c r="U22" s="145"/>
    </row>
    <row r="23" spans="1:28" ht="12" customHeight="1">
      <c r="C23" s="136"/>
      <c r="D23" s="136"/>
      <c r="E23" s="137"/>
      <c r="F23" s="137"/>
      <c r="G23" s="144"/>
      <c r="H23" s="144"/>
      <c r="I23" s="144"/>
      <c r="J23" s="144"/>
      <c r="K23" s="144"/>
      <c r="L23" s="144"/>
      <c r="M23" s="144"/>
      <c r="N23" s="144"/>
      <c r="O23" s="144"/>
      <c r="P23" s="144"/>
      <c r="Q23" s="144"/>
      <c r="R23" s="144"/>
      <c r="S23" s="144"/>
      <c r="T23" s="144"/>
      <c r="U23" s="144"/>
    </row>
  </sheetData>
  <customSheetViews>
    <customSheetView guid="{8FDDB7D7-275F-4F23-B770-BAF5AFA4F358}" scale="130" showGridLines="0" fitToPage="1">
      <pane xSplit="6" ySplit="3" topLeftCell="G4" activePane="bottomRight" state="frozen"/>
      <selection pane="bottomRight" activeCell="H20" sqref="H20"/>
      <pageMargins left="0.7" right="0.7" top="0.75" bottom="0.75" header="0.3" footer="0.3"/>
      <pageSetup paperSize="9" scale="37" fitToHeight="0" orientation="landscape" r:id="rId1"/>
    </customSheetView>
    <customSheetView guid="{12F8D032-8143-430B-8DFF-852E8796C402}" showGridLines="0" fitToPage="1" topLeftCell="Q1">
      <selection activeCell="U7" sqref="U7"/>
      <pageMargins left="0.7" right="0.7" top="0.75" bottom="0.75" header="0.3" footer="0.3"/>
      <pageSetup paperSize="9" scale="37" fitToHeight="0" orientation="landscape" r:id="rId2"/>
    </customSheetView>
    <customSheetView guid="{687A4863-1825-4D63-B732-E76682E6DE4F}" showGridLines="0" fitToPage="1" topLeftCell="C1">
      <selection activeCell="H28" sqref="H28"/>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8DA78CF1-615A-4626-9893-6751995631A4}" showGridLines="0" fitToPage="1" topLeftCell="N1">
      <selection activeCell="S13" sqref="S13"/>
      <pageMargins left="0.7" right="0.7" top="0.75" bottom="0.75" header="0.3" footer="0.3"/>
      <pageSetup paperSize="9" scale="37" fitToHeight="0" orientation="landscape" r:id="rId5"/>
    </customSheetView>
    <customSheetView guid="{25FAB884-5E17-4008-8139-33D910C7DEFE}" fitToPage="1">
      <selection activeCell="P14" sqref="P14"/>
      <pageMargins left="0.7" right="0.7" top="0.75" bottom="0.75" header="0.3" footer="0.3"/>
      <pageSetup paperSize="9" scale="37" fitToHeight="0" orientation="landscape" r:id="rId6"/>
    </customSheetView>
    <customSheetView guid="{899D69CD-4B7E-42BC-9944-5BD922EB798C}" fitToPage="1">
      <selection activeCell="P14" sqref="P14"/>
      <pageMargins left="0.7" right="0.7" top="0.75" bottom="0.75" header="0.3" footer="0.3"/>
      <pageSetup paperSize="9" scale="37" fitToHeight="0" orientation="landscape" r:id="rId7"/>
    </customSheetView>
    <customSheetView guid="{9AF4A83C-CF57-4B40-8A74-6A0EA6C2FE5C}" showGridLines="0" fitToPage="1" topLeftCell="D1">
      <selection activeCell="D32" sqref="D32"/>
      <pageMargins left="0.7" right="0.7" top="0.75" bottom="0.75" header="0.3" footer="0.3"/>
      <pageSetup paperSize="9" scale="37" fitToHeight="0" orientation="landscape" r:id="rId8"/>
    </customSheetView>
    <customSheetView guid="{746490BF-9C44-4B41-8803-BEC9E453576A}" scale="130" showGridLines="0" fitToPage="1">
      <pane xSplit="6" ySplit="3" topLeftCell="G4" activePane="bottomRight" state="frozen"/>
      <selection pane="bottomRight" activeCell="H20" sqref="H20"/>
      <pageMargins left="0.7" right="0.7" top="0.75" bottom="0.75" header="0.3" footer="0.3"/>
      <pageSetup paperSize="9" scale="37" fitToHeight="0" orientation="landscape" r:id="rId9"/>
    </customSheetView>
  </customSheetViews>
  <pageMargins left="0.7" right="0.7" top="0.75" bottom="0.75" header="0.3" footer="0.3"/>
  <pageSetup paperSize="9" scale="37" fitToHeight="0" orientation="landscape"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8FDDB7D7-275F-4F23-B770-BAF5AFA4F358}" state="hidden">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746490BF-9C44-4B41-8803-BEC9E453576A}"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workbookViewId="0">
      <pane xSplit="2" ySplit="1" topLeftCell="H2" activePane="bottomRight" state="frozen"/>
      <selection pane="topRight" activeCell="C1" sqref="C1"/>
      <selection pane="bottomLeft" activeCell="A2" sqref="A2"/>
      <selection pane="bottomRight" activeCell="C2" sqref="C2"/>
    </sheetView>
  </sheetViews>
  <sheetFormatPr defaultColWidth="8.85546875" defaultRowHeight="14.25"/>
  <cols>
    <col min="1" max="2" width="50.85546875" style="6" customWidth="1"/>
    <col min="3" max="9" width="13.42578125" style="6" customWidth="1"/>
    <col min="10" max="16" width="13.42578125" style="324" customWidth="1"/>
    <col min="17" max="17" width="11.140625" style="6" bestFit="1" customWidth="1"/>
    <col min="18" max="16384" width="8.85546875" style="6"/>
  </cols>
  <sheetData>
    <row r="1" spans="1:17" s="378" customFormat="1" ht="19.5" customHeight="1" thickBot="1">
      <c r="A1" s="376" t="s">
        <v>89</v>
      </c>
      <c r="B1" s="376" t="s">
        <v>1</v>
      </c>
      <c r="C1" s="377" t="s">
        <v>189</v>
      </c>
      <c r="D1" s="377" t="s">
        <v>190</v>
      </c>
      <c r="E1" s="377" t="s">
        <v>191</v>
      </c>
      <c r="F1" s="377" t="s">
        <v>192</v>
      </c>
      <c r="G1" s="377" t="s">
        <v>193</v>
      </c>
      <c r="H1" s="377" t="s">
        <v>194</v>
      </c>
      <c r="I1" s="377" t="s">
        <v>195</v>
      </c>
      <c r="J1" s="377" t="s">
        <v>196</v>
      </c>
      <c r="K1" s="377" t="s">
        <v>197</v>
      </c>
      <c r="L1" s="377" t="s">
        <v>198</v>
      </c>
      <c r="M1" s="377" t="s">
        <v>623</v>
      </c>
      <c r="N1" s="377" t="s">
        <v>632</v>
      </c>
      <c r="O1" s="377" t="s">
        <v>670</v>
      </c>
      <c r="P1" s="377" t="s">
        <v>674</v>
      </c>
      <c r="Q1" s="377" t="s">
        <v>685</v>
      </c>
    </row>
    <row r="2" spans="1:17" s="22" customFormat="1" ht="28.5">
      <c r="A2" s="384" t="s">
        <v>244</v>
      </c>
      <c r="B2" s="384" t="s">
        <v>150</v>
      </c>
      <c r="C2" s="379">
        <f>SUM(C3:C4,C6,C7:C10)</f>
        <v>1559802</v>
      </c>
      <c r="D2" s="379">
        <f>SUM(D3:D4,D6,D7:D10)</f>
        <v>1620968</v>
      </c>
      <c r="E2" s="379">
        <f>SUM(E3:E4,E6,E7:E10)</f>
        <v>1663808</v>
      </c>
      <c r="F2" s="379">
        <f>SUM(F3:F4,F6,F7:F10)</f>
        <v>1684729</v>
      </c>
      <c r="G2" s="379">
        <f>SUM(G3:G4,G6,G7:G10)</f>
        <v>1688501</v>
      </c>
      <c r="H2" s="379">
        <f t="shared" ref="H2:P2" si="0">SUM(H3:H4,H6,H7:H10)</f>
        <v>1736743</v>
      </c>
      <c r="I2" s="379">
        <f t="shared" si="0"/>
        <v>1805709</v>
      </c>
      <c r="J2" s="379">
        <f t="shared" si="0"/>
        <v>1982843</v>
      </c>
      <c r="K2" s="379">
        <f t="shared" si="0"/>
        <v>2081699</v>
      </c>
      <c r="L2" s="379">
        <f t="shared" si="0"/>
        <v>2116449</v>
      </c>
      <c r="M2" s="379">
        <f t="shared" si="0"/>
        <v>2166156</v>
      </c>
      <c r="N2" s="379">
        <f t="shared" si="0"/>
        <v>2097532</v>
      </c>
      <c r="O2" s="379">
        <f t="shared" si="0"/>
        <v>2050090</v>
      </c>
      <c r="P2" s="379">
        <f t="shared" si="0"/>
        <v>1758240</v>
      </c>
      <c r="Q2" s="379">
        <f>SUM(Q3:Q4,Q6,Q7:Q10)</f>
        <v>1548842</v>
      </c>
    </row>
    <row r="3" spans="1:17" ht="15" customHeight="1">
      <c r="A3" s="385" t="s">
        <v>646</v>
      </c>
      <c r="B3" s="385" t="s">
        <v>645</v>
      </c>
      <c r="C3" s="380">
        <v>460085</v>
      </c>
      <c r="D3" s="380">
        <v>487186</v>
      </c>
      <c r="E3" s="380">
        <v>492361</v>
      </c>
      <c r="F3" s="380">
        <v>497431</v>
      </c>
      <c r="G3" s="380">
        <f t="shared" ref="G3:N3" si="1">G12+G20+G23</f>
        <v>496216</v>
      </c>
      <c r="H3" s="380">
        <f t="shared" si="1"/>
        <v>511595</v>
      </c>
      <c r="I3" s="380">
        <f t="shared" si="1"/>
        <v>534737</v>
      </c>
      <c r="J3" s="380">
        <f t="shared" si="1"/>
        <v>580009</v>
      </c>
      <c r="K3" s="380">
        <f t="shared" si="1"/>
        <v>612516</v>
      </c>
      <c r="L3" s="380">
        <f t="shared" si="1"/>
        <v>622815</v>
      </c>
      <c r="M3" s="380">
        <f t="shared" si="1"/>
        <v>638868</v>
      </c>
      <c r="N3" s="380">
        <f t="shared" si="1"/>
        <v>645950</v>
      </c>
      <c r="O3" s="380">
        <f t="shared" ref="O3:P3" si="2">O12+O20+O23</f>
        <v>626627</v>
      </c>
      <c r="P3" s="380">
        <f t="shared" si="2"/>
        <v>527245</v>
      </c>
      <c r="Q3" s="431">
        <f>Q12+Q20+Q23</f>
        <v>462046</v>
      </c>
    </row>
    <row r="4" spans="1:17" ht="15" customHeight="1">
      <c r="A4" s="385" t="s">
        <v>246</v>
      </c>
      <c r="B4" s="385" t="s">
        <v>175</v>
      </c>
      <c r="C4" s="380">
        <v>853134</v>
      </c>
      <c r="D4" s="380">
        <v>888127</v>
      </c>
      <c r="E4" s="380">
        <v>920251</v>
      </c>
      <c r="F4" s="380">
        <v>940928</v>
      </c>
      <c r="G4" s="380">
        <f t="shared" ref="G4:N5" si="3">G13+G24</f>
        <v>947745</v>
      </c>
      <c r="H4" s="380">
        <f t="shared" si="3"/>
        <v>978260</v>
      </c>
      <c r="I4" s="380">
        <f t="shared" si="3"/>
        <v>1002343</v>
      </c>
      <c r="J4" s="380">
        <f t="shared" si="3"/>
        <v>1100303</v>
      </c>
      <c r="K4" s="380">
        <f t="shared" si="3"/>
        <v>1156682</v>
      </c>
      <c r="L4" s="380">
        <f t="shared" si="3"/>
        <v>1194984</v>
      </c>
      <c r="M4" s="380">
        <f t="shared" si="3"/>
        <v>1239653</v>
      </c>
      <c r="N4" s="380">
        <f t="shared" si="3"/>
        <v>1173562</v>
      </c>
      <c r="O4" s="380">
        <f>O13+O24</f>
        <v>1161883</v>
      </c>
      <c r="P4" s="380">
        <f>P13+P24</f>
        <v>1000596</v>
      </c>
      <c r="Q4" s="431">
        <f>Q13+Q24</f>
        <v>868014</v>
      </c>
    </row>
    <row r="5" spans="1:17" s="15" customFormat="1" ht="15" customHeight="1">
      <c r="A5" s="386" t="s">
        <v>247</v>
      </c>
      <c r="B5" s="386" t="s">
        <v>259</v>
      </c>
      <c r="C5" s="381">
        <v>250682</v>
      </c>
      <c r="D5" s="381">
        <v>262395</v>
      </c>
      <c r="E5" s="381">
        <v>273039</v>
      </c>
      <c r="F5" s="381">
        <v>280480</v>
      </c>
      <c r="G5" s="380">
        <f t="shared" si="3"/>
        <v>280304</v>
      </c>
      <c r="H5" s="380">
        <f t="shared" si="3"/>
        <v>293213</v>
      </c>
      <c r="I5" s="380">
        <f t="shared" si="3"/>
        <v>303386</v>
      </c>
      <c r="J5" s="380">
        <f t="shared" si="3"/>
        <v>355178</v>
      </c>
      <c r="K5" s="380">
        <f t="shared" si="3"/>
        <v>396264</v>
      </c>
      <c r="L5" s="380">
        <f t="shared" si="3"/>
        <v>407861</v>
      </c>
      <c r="M5" s="380">
        <f t="shared" si="3"/>
        <v>418730</v>
      </c>
      <c r="N5" s="380">
        <f t="shared" si="3"/>
        <v>423653</v>
      </c>
      <c r="O5" s="380">
        <f t="shared" ref="O5:P5" si="4">O14+O25</f>
        <v>423909</v>
      </c>
      <c r="P5" s="380">
        <f t="shared" si="4"/>
        <v>359484</v>
      </c>
      <c r="Q5" s="432">
        <f>Q14+Q25</f>
        <v>286950</v>
      </c>
    </row>
    <row r="6" spans="1:17" ht="15" customHeight="1">
      <c r="A6" s="385" t="s">
        <v>651</v>
      </c>
      <c r="B6" s="385" t="s">
        <v>652</v>
      </c>
      <c r="C6" s="380">
        <v>161140</v>
      </c>
      <c r="D6" s="380">
        <v>162598</v>
      </c>
      <c r="E6" s="380">
        <v>169278</v>
      </c>
      <c r="F6" s="380">
        <v>167983</v>
      </c>
      <c r="G6" s="380">
        <f>G21+G26</f>
        <v>169101</v>
      </c>
      <c r="H6" s="380">
        <f t="shared" ref="H6:N6" si="5">H21+H26</f>
        <v>169183</v>
      </c>
      <c r="I6" s="380">
        <f t="shared" si="5"/>
        <v>192883</v>
      </c>
      <c r="J6" s="380">
        <f t="shared" si="5"/>
        <v>211727</v>
      </c>
      <c r="K6" s="380">
        <f t="shared" si="5"/>
        <v>228036</v>
      </c>
      <c r="L6" s="380">
        <f t="shared" si="5"/>
        <v>215282</v>
      </c>
      <c r="M6" s="380">
        <f t="shared" si="5"/>
        <v>203939</v>
      </c>
      <c r="N6" s="380">
        <f t="shared" si="5"/>
        <v>207409</v>
      </c>
      <c r="O6" s="380">
        <f t="shared" ref="O6:P6" si="6">O21+O26</f>
        <v>199946</v>
      </c>
      <c r="P6" s="380">
        <f t="shared" si="6"/>
        <v>204724</v>
      </c>
      <c r="Q6" s="431">
        <f>Q21+Q26</f>
        <v>213409</v>
      </c>
    </row>
    <row r="7" spans="1:17" ht="15" customHeight="1">
      <c r="A7" s="385" t="s">
        <v>249</v>
      </c>
      <c r="B7" s="385" t="s">
        <v>261</v>
      </c>
      <c r="C7" s="380">
        <v>3093</v>
      </c>
      <c r="D7" s="380">
        <v>6082</v>
      </c>
      <c r="E7" s="380">
        <v>9178</v>
      </c>
      <c r="F7" s="380">
        <v>8989</v>
      </c>
      <c r="G7" s="380">
        <f>G15</f>
        <v>13653</v>
      </c>
      <c r="H7" s="380">
        <f t="shared" ref="H7:N7" si="7">H15</f>
        <v>15780</v>
      </c>
      <c r="I7" s="380">
        <f t="shared" si="7"/>
        <v>16818</v>
      </c>
      <c r="J7" s="380">
        <f t="shared" si="7"/>
        <v>26701</v>
      </c>
      <c r="K7" s="380">
        <f t="shared" si="7"/>
        <v>24615</v>
      </c>
      <c r="L7" s="380">
        <f t="shared" si="7"/>
        <v>25573</v>
      </c>
      <c r="M7" s="380">
        <f t="shared" si="7"/>
        <v>26866</v>
      </c>
      <c r="N7" s="380">
        <f t="shared" si="7"/>
        <v>17314</v>
      </c>
      <c r="O7" s="380">
        <f t="shared" ref="O7:P7" si="8">O15</f>
        <v>11609</v>
      </c>
      <c r="P7" s="380">
        <f t="shared" si="8"/>
        <v>3725</v>
      </c>
      <c r="Q7" s="431">
        <f>Q15</f>
        <v>454</v>
      </c>
    </row>
    <row r="8" spans="1:17">
      <c r="A8" s="385" t="s">
        <v>62</v>
      </c>
      <c r="B8" s="385" t="s">
        <v>17</v>
      </c>
      <c r="C8" s="380">
        <v>15191</v>
      </c>
      <c r="D8" s="380">
        <v>16183</v>
      </c>
      <c r="E8" s="380">
        <v>16367</v>
      </c>
      <c r="F8" s="380">
        <v>16484</v>
      </c>
      <c r="G8" s="380">
        <f t="shared" ref="G8:N10" si="9">G16</f>
        <v>7691</v>
      </c>
      <c r="H8" s="380">
        <f t="shared" si="9"/>
        <v>8378</v>
      </c>
      <c r="I8" s="380">
        <f t="shared" si="9"/>
        <v>7816</v>
      </c>
      <c r="J8" s="380">
        <f t="shared" si="9"/>
        <v>11945</v>
      </c>
      <c r="K8" s="380">
        <f t="shared" si="9"/>
        <v>12821</v>
      </c>
      <c r="L8" s="380">
        <f t="shared" si="9"/>
        <v>12562</v>
      </c>
      <c r="M8" s="380">
        <f t="shared" si="9"/>
        <v>11057</v>
      </c>
      <c r="N8" s="380">
        <f t="shared" si="9"/>
        <v>11170</v>
      </c>
      <c r="O8" s="380">
        <f t="shared" ref="O8:P8" si="10">O16</f>
        <v>9889</v>
      </c>
      <c r="P8" s="380">
        <f t="shared" si="10"/>
        <v>2304</v>
      </c>
      <c r="Q8" s="431">
        <f>Q16</f>
        <v>228</v>
      </c>
    </row>
    <row r="9" spans="1:17">
      <c r="A9" s="385" t="s">
        <v>248</v>
      </c>
      <c r="B9" s="385" t="s">
        <v>177</v>
      </c>
      <c r="C9" s="380">
        <v>1710</v>
      </c>
      <c r="D9" s="380">
        <v>1518</v>
      </c>
      <c r="E9" s="380">
        <v>1445</v>
      </c>
      <c r="F9" s="380">
        <v>1703</v>
      </c>
      <c r="G9" s="380">
        <f t="shared" si="9"/>
        <v>1974</v>
      </c>
      <c r="H9" s="380">
        <f t="shared" si="9"/>
        <v>1941</v>
      </c>
      <c r="I9" s="380">
        <f t="shared" si="9"/>
        <v>2796</v>
      </c>
      <c r="J9" s="380">
        <f t="shared" si="9"/>
        <v>3083</v>
      </c>
      <c r="K9" s="380">
        <f t="shared" si="9"/>
        <v>2762</v>
      </c>
      <c r="L9" s="380">
        <f t="shared" si="9"/>
        <v>2496</v>
      </c>
      <c r="M9" s="380">
        <f t="shared" si="9"/>
        <v>2448</v>
      </c>
      <c r="N9" s="380">
        <f t="shared" si="9"/>
        <v>2447</v>
      </c>
      <c r="O9" s="380">
        <f t="shared" ref="O9:P9" si="11">O17</f>
        <v>2803</v>
      </c>
      <c r="P9" s="380">
        <f t="shared" si="11"/>
        <v>2330</v>
      </c>
      <c r="Q9" s="431">
        <f>Q17</f>
        <v>1514</v>
      </c>
    </row>
    <row r="10" spans="1:17">
      <c r="A10" s="385" t="s">
        <v>250</v>
      </c>
      <c r="B10" s="385" t="s">
        <v>262</v>
      </c>
      <c r="C10" s="380">
        <v>65449</v>
      </c>
      <c r="D10" s="380">
        <v>59274</v>
      </c>
      <c r="E10" s="380">
        <v>54928</v>
      </c>
      <c r="F10" s="380">
        <v>51211</v>
      </c>
      <c r="G10" s="380">
        <f t="shared" si="9"/>
        <v>52121</v>
      </c>
      <c r="H10" s="380">
        <f t="shared" si="9"/>
        <v>51606</v>
      </c>
      <c r="I10" s="380">
        <f t="shared" si="9"/>
        <v>48316</v>
      </c>
      <c r="J10" s="380">
        <f t="shared" si="9"/>
        <v>49075</v>
      </c>
      <c r="K10" s="380">
        <f t="shared" si="9"/>
        <v>44267</v>
      </c>
      <c r="L10" s="380">
        <f t="shared" si="9"/>
        <v>42737</v>
      </c>
      <c r="M10" s="380">
        <f t="shared" si="9"/>
        <v>43325</v>
      </c>
      <c r="N10" s="380">
        <f t="shared" si="9"/>
        <v>39680</v>
      </c>
      <c r="O10" s="380">
        <f t="shared" ref="O10:P10" si="12">O18</f>
        <v>37333</v>
      </c>
      <c r="P10" s="380">
        <f t="shared" si="12"/>
        <v>17316</v>
      </c>
      <c r="Q10" s="431">
        <f>Q18</f>
        <v>3177</v>
      </c>
    </row>
    <row r="11" spans="1:17" s="22" customFormat="1" ht="28.5">
      <c r="A11" s="384" t="s">
        <v>119</v>
      </c>
      <c r="B11" s="384" t="s">
        <v>123</v>
      </c>
      <c r="C11" s="12">
        <f t="shared" ref="C11:P11" si="13">SUM(C12:C13,C15,C16:C18)</f>
        <v>0</v>
      </c>
      <c r="D11" s="12">
        <f t="shared" si="13"/>
        <v>0</v>
      </c>
      <c r="E11" s="12">
        <f t="shared" si="13"/>
        <v>0</v>
      </c>
      <c r="F11" s="12">
        <f t="shared" si="13"/>
        <v>0</v>
      </c>
      <c r="G11" s="12">
        <f t="shared" si="13"/>
        <v>1487943</v>
      </c>
      <c r="H11" s="12">
        <f t="shared" si="13"/>
        <v>1537794</v>
      </c>
      <c r="I11" s="12">
        <f t="shared" si="13"/>
        <v>1584506</v>
      </c>
      <c r="J11" s="12">
        <f t="shared" si="13"/>
        <v>1734889</v>
      </c>
      <c r="K11" s="12">
        <f t="shared" si="13"/>
        <v>1821282</v>
      </c>
      <c r="L11" s="12">
        <f t="shared" si="13"/>
        <v>1869671</v>
      </c>
      <c r="M11" s="12">
        <f t="shared" si="13"/>
        <v>1923854</v>
      </c>
      <c r="N11" s="12">
        <f t="shared" si="13"/>
        <v>1852731</v>
      </c>
      <c r="O11" s="12">
        <f t="shared" si="13"/>
        <v>1816161</v>
      </c>
      <c r="P11" s="12">
        <f t="shared" si="13"/>
        <v>1535340</v>
      </c>
      <c r="Q11" s="12">
        <f>SUM(Q12:Q13,Q15,Q16:Q18)</f>
        <v>1323301</v>
      </c>
    </row>
    <row r="12" spans="1:17" s="324" customFormat="1" ht="15" customHeight="1">
      <c r="A12" s="352" t="s">
        <v>646</v>
      </c>
      <c r="B12" s="352" t="s">
        <v>645</v>
      </c>
      <c r="C12" s="9">
        <v>0</v>
      </c>
      <c r="D12" s="9">
        <v>0</v>
      </c>
      <c r="E12" s="9">
        <v>0</v>
      </c>
      <c r="F12" s="9">
        <v>0</v>
      </c>
      <c r="G12" s="9">
        <v>495715</v>
      </c>
      <c r="H12" s="9">
        <v>511085</v>
      </c>
      <c r="I12" s="9">
        <v>534228</v>
      </c>
      <c r="J12" s="9">
        <v>575313</v>
      </c>
      <c r="K12" s="9">
        <v>607477</v>
      </c>
      <c r="L12" s="9">
        <v>617598</v>
      </c>
      <c r="M12" s="9">
        <v>627128</v>
      </c>
      <c r="N12" s="9">
        <v>634055</v>
      </c>
      <c r="O12" s="9">
        <v>615521</v>
      </c>
      <c r="P12" s="9">
        <v>517023</v>
      </c>
      <c r="Q12" s="434">
        <v>454302</v>
      </c>
    </row>
    <row r="13" spans="1:17" s="324" customFormat="1">
      <c r="A13" s="352" t="s">
        <v>246</v>
      </c>
      <c r="B13" s="352"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c r="P13" s="9">
        <v>992642</v>
      </c>
      <c r="Q13" s="433">
        <v>863626</v>
      </c>
    </row>
    <row r="14" spans="1:17" s="382" customFormat="1">
      <c r="A14" s="386" t="s">
        <v>247</v>
      </c>
      <c r="B14" s="386" t="s">
        <v>259</v>
      </c>
      <c r="C14" s="9">
        <v>0</v>
      </c>
      <c r="D14" s="9">
        <v>0</v>
      </c>
      <c r="E14" s="9">
        <v>0</v>
      </c>
      <c r="F14" s="9">
        <v>0</v>
      </c>
      <c r="G14" s="9">
        <v>280304</v>
      </c>
      <c r="H14" s="9">
        <v>293213</v>
      </c>
      <c r="I14" s="9">
        <v>303386</v>
      </c>
      <c r="J14" s="9">
        <v>355178</v>
      </c>
      <c r="K14" s="9">
        <v>396264</v>
      </c>
      <c r="L14" s="9">
        <v>407861</v>
      </c>
      <c r="M14" s="9">
        <v>418730</v>
      </c>
      <c r="N14" s="9">
        <v>423653</v>
      </c>
      <c r="O14" s="9">
        <v>423909</v>
      </c>
      <c r="P14" s="9">
        <v>359484</v>
      </c>
      <c r="Q14" s="433">
        <v>286950</v>
      </c>
    </row>
    <row r="15" spans="1:17" s="324" customFormat="1">
      <c r="A15" s="352" t="s">
        <v>249</v>
      </c>
      <c r="B15" s="352" t="s">
        <v>261</v>
      </c>
      <c r="C15" s="9">
        <v>0</v>
      </c>
      <c r="D15" s="9">
        <v>0</v>
      </c>
      <c r="E15" s="9">
        <v>0</v>
      </c>
      <c r="F15" s="9">
        <v>0</v>
      </c>
      <c r="G15" s="9">
        <v>13653</v>
      </c>
      <c r="H15" s="9">
        <v>15780</v>
      </c>
      <c r="I15" s="9">
        <v>16818</v>
      </c>
      <c r="J15" s="9">
        <v>26701</v>
      </c>
      <c r="K15" s="9">
        <v>24615</v>
      </c>
      <c r="L15" s="9">
        <v>25573</v>
      </c>
      <c r="M15" s="9">
        <v>26866</v>
      </c>
      <c r="N15" s="9">
        <v>17314</v>
      </c>
      <c r="O15" s="9">
        <f>11609</f>
        <v>11609</v>
      </c>
      <c r="P15" s="9">
        <v>3725</v>
      </c>
      <c r="Q15" s="433">
        <v>454</v>
      </c>
    </row>
    <row r="16" spans="1:17" s="324" customFormat="1">
      <c r="A16" s="352" t="s">
        <v>62</v>
      </c>
      <c r="B16" s="352" t="s">
        <v>17</v>
      </c>
      <c r="C16" s="9">
        <v>0</v>
      </c>
      <c r="D16" s="9">
        <v>0</v>
      </c>
      <c r="E16" s="9">
        <v>0</v>
      </c>
      <c r="F16" s="9">
        <v>0</v>
      </c>
      <c r="G16" s="9">
        <v>7691</v>
      </c>
      <c r="H16" s="9">
        <v>8378</v>
      </c>
      <c r="I16" s="9">
        <v>7816</v>
      </c>
      <c r="J16" s="9">
        <v>11945</v>
      </c>
      <c r="K16" s="9">
        <v>12821</v>
      </c>
      <c r="L16" s="9">
        <v>12562</v>
      </c>
      <c r="M16" s="9">
        <v>11057</v>
      </c>
      <c r="N16" s="9">
        <v>11170</v>
      </c>
      <c r="O16" s="9">
        <v>9889</v>
      </c>
      <c r="P16" s="9">
        <v>2304</v>
      </c>
      <c r="Q16" s="433">
        <v>228</v>
      </c>
    </row>
    <row r="17" spans="1:17" s="324" customFormat="1">
      <c r="A17" s="352" t="s">
        <v>248</v>
      </c>
      <c r="B17" s="352" t="s">
        <v>177</v>
      </c>
      <c r="C17" s="9">
        <v>0</v>
      </c>
      <c r="D17" s="9">
        <v>0</v>
      </c>
      <c r="E17" s="9">
        <v>0</v>
      </c>
      <c r="F17" s="9">
        <v>0</v>
      </c>
      <c r="G17" s="9">
        <v>1974</v>
      </c>
      <c r="H17" s="9">
        <v>1941</v>
      </c>
      <c r="I17" s="9">
        <v>2796</v>
      </c>
      <c r="J17" s="9">
        <v>3083</v>
      </c>
      <c r="K17" s="9">
        <v>2762</v>
      </c>
      <c r="L17" s="9">
        <v>2496</v>
      </c>
      <c r="M17" s="9">
        <v>2448</v>
      </c>
      <c r="N17" s="9">
        <v>2447</v>
      </c>
      <c r="O17" s="9">
        <f>2802+1</f>
        <v>2803</v>
      </c>
      <c r="P17" s="9">
        <v>2330</v>
      </c>
      <c r="Q17" s="434">
        <v>1514</v>
      </c>
    </row>
    <row r="18" spans="1:17" s="324" customFormat="1">
      <c r="A18" s="352" t="s">
        <v>250</v>
      </c>
      <c r="B18" s="352" t="s">
        <v>262</v>
      </c>
      <c r="C18" s="9">
        <v>0</v>
      </c>
      <c r="D18" s="9">
        <v>0</v>
      </c>
      <c r="E18" s="9">
        <v>0</v>
      </c>
      <c r="F18" s="9">
        <v>0</v>
      </c>
      <c r="G18" s="9">
        <v>52121</v>
      </c>
      <c r="H18" s="9">
        <v>51606</v>
      </c>
      <c r="I18" s="9">
        <v>48316</v>
      </c>
      <c r="J18" s="9">
        <v>49075</v>
      </c>
      <c r="K18" s="9">
        <v>44267</v>
      </c>
      <c r="L18" s="9">
        <v>42737</v>
      </c>
      <c r="M18" s="9">
        <v>43325</v>
      </c>
      <c r="N18" s="9">
        <v>39680</v>
      </c>
      <c r="O18" s="9">
        <v>37333</v>
      </c>
      <c r="P18" s="9">
        <v>17316</v>
      </c>
      <c r="Q18" s="433">
        <v>3177</v>
      </c>
    </row>
    <row r="19" spans="1:17" s="383" customFormat="1" ht="42.75">
      <c r="A19" s="384" t="s">
        <v>251</v>
      </c>
      <c r="B19" s="384" t="s">
        <v>124</v>
      </c>
      <c r="C19" s="12">
        <f t="shared" ref="C19:J19" si="14">SUM(C20:C21)</f>
        <v>0</v>
      </c>
      <c r="D19" s="12">
        <f t="shared" si="14"/>
        <v>0</v>
      </c>
      <c r="E19" s="12">
        <f t="shared" si="14"/>
        <v>0</v>
      </c>
      <c r="F19" s="12">
        <f t="shared" si="14"/>
        <v>0</v>
      </c>
      <c r="G19" s="12">
        <f t="shared" si="14"/>
        <v>163239</v>
      </c>
      <c r="H19" s="12">
        <f t="shared" si="14"/>
        <v>174832</v>
      </c>
      <c r="I19" s="12">
        <f t="shared" si="14"/>
        <v>189226</v>
      </c>
      <c r="J19" s="12">
        <f t="shared" si="14"/>
        <v>206081</v>
      </c>
      <c r="K19" s="12">
        <f t="shared" ref="K19:P19" si="15">SUM(K20:K21)</f>
        <v>209674</v>
      </c>
      <c r="L19" s="12">
        <f t="shared" si="15"/>
        <v>199210</v>
      </c>
      <c r="M19" s="12">
        <f t="shared" si="15"/>
        <v>209193</v>
      </c>
      <c r="N19" s="12">
        <f t="shared" si="15"/>
        <v>215747</v>
      </c>
      <c r="O19" s="12">
        <f t="shared" si="15"/>
        <v>206593</v>
      </c>
      <c r="P19" s="12">
        <f t="shared" si="15"/>
        <v>209592</v>
      </c>
      <c r="Q19" s="435">
        <f>SUM(Q20:Q21)</f>
        <v>219908</v>
      </c>
    </row>
    <row r="20" spans="1:17" s="324" customFormat="1">
      <c r="A20" s="352" t="s">
        <v>245</v>
      </c>
      <c r="B20" s="352" t="s">
        <v>173</v>
      </c>
      <c r="C20" s="9">
        <v>0</v>
      </c>
      <c r="D20" s="9">
        <v>0</v>
      </c>
      <c r="E20" s="9">
        <v>0</v>
      </c>
      <c r="F20" s="9">
        <v>0</v>
      </c>
      <c r="G20" s="9">
        <v>0</v>
      </c>
      <c r="H20" s="9">
        <v>0</v>
      </c>
      <c r="I20" s="9">
        <v>0</v>
      </c>
      <c r="J20" s="9">
        <v>4179</v>
      </c>
      <c r="K20" s="9">
        <v>4538</v>
      </c>
      <c r="L20" s="9">
        <v>4707</v>
      </c>
      <c r="M20" s="9">
        <v>11223</v>
      </c>
      <c r="N20" s="9">
        <v>11553</v>
      </c>
      <c r="O20" s="9">
        <v>10598</v>
      </c>
      <c r="P20" s="9">
        <v>9826</v>
      </c>
      <c r="Q20" s="433">
        <v>7521</v>
      </c>
    </row>
    <row r="21" spans="1:17" s="324" customFormat="1">
      <c r="A21" s="387" t="s">
        <v>651</v>
      </c>
      <c r="B21" s="352" t="s">
        <v>652</v>
      </c>
      <c r="C21" s="9">
        <v>0</v>
      </c>
      <c r="D21" s="9">
        <v>0</v>
      </c>
      <c r="E21" s="9">
        <v>0</v>
      </c>
      <c r="F21" s="9">
        <v>0</v>
      </c>
      <c r="G21" s="9">
        <v>163239</v>
      </c>
      <c r="H21" s="9">
        <v>174832</v>
      </c>
      <c r="I21" s="9">
        <v>189226</v>
      </c>
      <c r="J21" s="9">
        <v>201902</v>
      </c>
      <c r="K21" s="9">
        <v>205136</v>
      </c>
      <c r="L21" s="9">
        <v>194503</v>
      </c>
      <c r="M21" s="9">
        <v>197970</v>
      </c>
      <c r="N21" s="9">
        <v>204194</v>
      </c>
      <c r="O21" s="9">
        <v>195995</v>
      </c>
      <c r="P21" s="9">
        <v>199766</v>
      </c>
      <c r="Q21" s="433">
        <v>212387</v>
      </c>
    </row>
    <row r="22" spans="1:17" s="22" customFormat="1" ht="42.75">
      <c r="A22" s="384" t="s">
        <v>121</v>
      </c>
      <c r="B22" s="384" t="s">
        <v>122</v>
      </c>
      <c r="C22" s="12">
        <f t="shared" ref="C22:J22" si="16">SUM(C23:C24,C26)</f>
        <v>0</v>
      </c>
      <c r="D22" s="12">
        <f t="shared" si="16"/>
        <v>0</v>
      </c>
      <c r="E22" s="12">
        <f t="shared" si="16"/>
        <v>0</v>
      </c>
      <c r="F22" s="12">
        <f t="shared" si="16"/>
        <v>0</v>
      </c>
      <c r="G22" s="12">
        <f t="shared" si="16"/>
        <v>37319</v>
      </c>
      <c r="H22" s="12">
        <f t="shared" si="16"/>
        <v>24117</v>
      </c>
      <c r="I22" s="12">
        <f t="shared" si="16"/>
        <v>31977</v>
      </c>
      <c r="J22" s="12">
        <f t="shared" si="16"/>
        <v>41873</v>
      </c>
      <c r="K22" s="12">
        <f t="shared" ref="K22:P22" si="17">SUM(K23:K24,K26)</f>
        <v>50743</v>
      </c>
      <c r="L22" s="12">
        <f t="shared" si="17"/>
        <v>47568</v>
      </c>
      <c r="M22" s="12">
        <f t="shared" si="17"/>
        <v>33109</v>
      </c>
      <c r="N22" s="12">
        <f t="shared" si="17"/>
        <v>29054</v>
      </c>
      <c r="O22" s="12">
        <f t="shared" si="17"/>
        <v>27336</v>
      </c>
      <c r="P22" s="12">
        <f t="shared" si="17"/>
        <v>13308</v>
      </c>
      <c r="Q22" s="436">
        <f>SUM(Q23:Q24,Q26)</f>
        <v>5633</v>
      </c>
    </row>
    <row r="23" spans="1:17">
      <c r="A23" s="352" t="s">
        <v>245</v>
      </c>
      <c r="B23" s="352" t="s">
        <v>173</v>
      </c>
      <c r="C23" s="9">
        <v>0</v>
      </c>
      <c r="D23" s="9">
        <v>0</v>
      </c>
      <c r="E23" s="9">
        <v>0</v>
      </c>
      <c r="F23" s="9">
        <v>0</v>
      </c>
      <c r="G23" s="9">
        <v>501</v>
      </c>
      <c r="H23" s="9">
        <v>510</v>
      </c>
      <c r="I23" s="9">
        <v>509</v>
      </c>
      <c r="J23" s="9">
        <v>517</v>
      </c>
      <c r="K23" s="9">
        <v>501</v>
      </c>
      <c r="L23" s="9">
        <v>510</v>
      </c>
      <c r="M23" s="9">
        <v>517</v>
      </c>
      <c r="N23" s="9">
        <v>342</v>
      </c>
      <c r="O23" s="9">
        <v>508</v>
      </c>
      <c r="P23" s="9">
        <v>396</v>
      </c>
      <c r="Q23" s="433">
        <v>223</v>
      </c>
    </row>
    <row r="24" spans="1:17">
      <c r="A24" s="352" t="s">
        <v>246</v>
      </c>
      <c r="B24" s="352" t="s">
        <v>175</v>
      </c>
      <c r="C24" s="9">
        <v>0</v>
      </c>
      <c r="D24" s="9">
        <v>0</v>
      </c>
      <c r="E24" s="9">
        <v>0</v>
      </c>
      <c r="F24" s="9">
        <v>0</v>
      </c>
      <c r="G24" s="9">
        <v>30956</v>
      </c>
      <c r="H24" s="9">
        <v>29256</v>
      </c>
      <c r="I24" s="9">
        <v>27811</v>
      </c>
      <c r="J24" s="9">
        <v>31531</v>
      </c>
      <c r="K24" s="9">
        <v>27342</v>
      </c>
      <c r="L24" s="9">
        <v>26279</v>
      </c>
      <c r="M24" s="9">
        <v>26623</v>
      </c>
      <c r="N24" s="9">
        <v>25497</v>
      </c>
      <c r="O24" s="9">
        <f>22878-1</f>
        <v>22877</v>
      </c>
      <c r="P24" s="9">
        <v>7954</v>
      </c>
      <c r="Q24" s="433">
        <v>4388</v>
      </c>
    </row>
    <row r="25" spans="1:17" s="15" customFormat="1">
      <c r="A25" s="386" t="s">
        <v>247</v>
      </c>
      <c r="B25" s="386" t="s">
        <v>259</v>
      </c>
      <c r="C25" s="14">
        <v>0</v>
      </c>
      <c r="D25" s="14">
        <v>0</v>
      </c>
      <c r="E25" s="14">
        <v>0</v>
      </c>
      <c r="F25" s="14">
        <v>0</v>
      </c>
      <c r="G25" s="14">
        <v>0</v>
      </c>
      <c r="H25" s="14">
        <v>0</v>
      </c>
      <c r="I25" s="14">
        <v>0</v>
      </c>
      <c r="J25" s="14">
        <v>0</v>
      </c>
      <c r="K25" s="14">
        <v>0</v>
      </c>
      <c r="L25" s="14">
        <v>0</v>
      </c>
      <c r="M25" s="14">
        <v>0</v>
      </c>
      <c r="N25" s="14">
        <v>0</v>
      </c>
      <c r="O25" s="14">
        <v>0</v>
      </c>
      <c r="P25" s="14">
        <v>0</v>
      </c>
      <c r="Q25" s="433">
        <v>0</v>
      </c>
    </row>
    <row r="26" spans="1:17">
      <c r="A26" s="387" t="s">
        <v>651</v>
      </c>
      <c r="B26" s="352" t="s">
        <v>518</v>
      </c>
      <c r="C26" s="9">
        <v>0</v>
      </c>
      <c r="D26" s="9">
        <v>0</v>
      </c>
      <c r="E26" s="9">
        <v>0</v>
      </c>
      <c r="F26" s="9">
        <v>0</v>
      </c>
      <c r="G26" s="9">
        <v>5862</v>
      </c>
      <c r="H26" s="9">
        <v>-5649</v>
      </c>
      <c r="I26" s="9">
        <v>3657</v>
      </c>
      <c r="J26" s="9">
        <v>9825</v>
      </c>
      <c r="K26" s="9">
        <v>22900</v>
      </c>
      <c r="L26" s="9">
        <v>20779</v>
      </c>
      <c r="M26" s="9">
        <v>5969</v>
      </c>
      <c r="N26" s="9">
        <v>3215</v>
      </c>
      <c r="O26" s="9">
        <v>3951</v>
      </c>
      <c r="P26" s="9">
        <v>4958</v>
      </c>
      <c r="Q26" s="433">
        <v>1022</v>
      </c>
    </row>
    <row r="27" spans="1:17" s="22" customFormat="1">
      <c r="A27" s="384" t="s">
        <v>252</v>
      </c>
      <c r="B27" s="384" t="s">
        <v>256</v>
      </c>
      <c r="C27" s="12">
        <f t="shared" ref="C27:J27" si="18">SUM(C28:C34)</f>
        <v>-305806</v>
      </c>
      <c r="D27" s="12">
        <f t="shared" si="18"/>
        <v>-318481</v>
      </c>
      <c r="E27" s="12">
        <f t="shared" si="18"/>
        <v>-322842</v>
      </c>
      <c r="F27" s="12">
        <f t="shared" si="18"/>
        <v>-305281</v>
      </c>
      <c r="G27" s="12">
        <f>SUM(G28:G34)-1</f>
        <v>-298675</v>
      </c>
      <c r="H27" s="12">
        <f t="shared" si="18"/>
        <v>-340536</v>
      </c>
      <c r="I27" s="12">
        <f t="shared" si="18"/>
        <v>-383490</v>
      </c>
      <c r="J27" s="12">
        <f t="shared" si="18"/>
        <v>-448690</v>
      </c>
      <c r="K27" s="12">
        <f t="shared" ref="K27:P27" si="19">SUM(K28:K34)</f>
        <v>-473099</v>
      </c>
      <c r="L27" s="12">
        <f t="shared" si="19"/>
        <v>-492917</v>
      </c>
      <c r="M27" s="12">
        <f t="shared" si="19"/>
        <v>-465122</v>
      </c>
      <c r="N27" s="12">
        <f t="shared" si="19"/>
        <v>-450529</v>
      </c>
      <c r="O27" s="12">
        <f t="shared" si="19"/>
        <v>-413777</v>
      </c>
      <c r="P27" s="12">
        <f t="shared" si="19"/>
        <v>-299805</v>
      </c>
      <c r="Q27" s="436">
        <f>SUM(Q28:Q34)</f>
        <v>-166160</v>
      </c>
    </row>
    <row r="28" spans="1:17">
      <c r="A28" s="352" t="s">
        <v>637</v>
      </c>
      <c r="B28" s="352" t="s">
        <v>641</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c r="P28" s="9">
        <v>-148891</v>
      </c>
      <c r="Q28" s="433">
        <v>-68976</v>
      </c>
    </row>
    <row r="29" spans="1:17">
      <c r="A29" s="352" t="s">
        <v>638</v>
      </c>
      <c r="B29" s="352" t="s">
        <v>642</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c r="P29" s="9">
        <v>-73075</v>
      </c>
      <c r="Q29" s="433">
        <v>-39467</v>
      </c>
    </row>
    <row r="30" spans="1:17" ht="28.5">
      <c r="A30" s="352" t="s">
        <v>253</v>
      </c>
      <c r="B30" s="352" t="s">
        <v>257</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c r="Q30" s="433">
        <v>329</v>
      </c>
    </row>
    <row r="31" spans="1:17">
      <c r="A31" s="352" t="s">
        <v>639</v>
      </c>
      <c r="B31" s="352" t="s">
        <v>643</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c r="Q31" s="433">
        <v>-2077</v>
      </c>
    </row>
    <row r="32" spans="1:17">
      <c r="A32" s="352" t="s">
        <v>640</v>
      </c>
      <c r="B32" s="352" t="s">
        <v>644</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c r="Q32" s="433">
        <v>-8907</v>
      </c>
    </row>
    <row r="33" spans="1:17">
      <c r="A33" s="352" t="s">
        <v>254</v>
      </c>
      <c r="B33" s="352" t="s">
        <v>159</v>
      </c>
      <c r="C33" s="9">
        <v>0</v>
      </c>
      <c r="D33" s="9">
        <v>0</v>
      </c>
      <c r="E33" s="9">
        <v>0</v>
      </c>
      <c r="F33" s="9">
        <v>0</v>
      </c>
      <c r="G33" s="9">
        <v>0</v>
      </c>
      <c r="H33" s="9">
        <v>0</v>
      </c>
      <c r="I33" s="9">
        <v>0</v>
      </c>
      <c r="J33" s="9"/>
      <c r="K33" s="9">
        <v>-4480</v>
      </c>
      <c r="L33" s="9">
        <v>-6272</v>
      </c>
      <c r="M33" s="9">
        <v>-5507</v>
      </c>
      <c r="N33" s="9">
        <v>-5339</v>
      </c>
      <c r="O33" s="9">
        <v>-5268</v>
      </c>
      <c r="P33" s="9">
        <v>-5023</v>
      </c>
      <c r="Q33" s="433">
        <v>-4568</v>
      </c>
    </row>
    <row r="34" spans="1:17" ht="28.5">
      <c r="A34" s="352" t="s">
        <v>255</v>
      </c>
      <c r="B34" s="352" t="s">
        <v>258</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c r="Q34" s="433">
        <v>-42494</v>
      </c>
    </row>
    <row r="35" spans="1:17" s="22" customFormat="1">
      <c r="A35" s="388" t="s">
        <v>89</v>
      </c>
      <c r="B35" s="388" t="s">
        <v>1</v>
      </c>
      <c r="C35" s="259">
        <f t="shared" ref="C35:P35" si="20">C2+C27</f>
        <v>1253996</v>
      </c>
      <c r="D35" s="259">
        <f t="shared" si="20"/>
        <v>1302487</v>
      </c>
      <c r="E35" s="259">
        <f t="shared" si="20"/>
        <v>1340966</v>
      </c>
      <c r="F35" s="259">
        <f t="shared" si="20"/>
        <v>1379448</v>
      </c>
      <c r="G35" s="259">
        <f t="shared" si="20"/>
        <v>1389826</v>
      </c>
      <c r="H35" s="259">
        <f t="shared" si="20"/>
        <v>1396207</v>
      </c>
      <c r="I35" s="259">
        <f t="shared" si="20"/>
        <v>1422219</v>
      </c>
      <c r="J35" s="259">
        <f t="shared" si="20"/>
        <v>1534153</v>
      </c>
      <c r="K35" s="259">
        <f t="shared" si="20"/>
        <v>1608600</v>
      </c>
      <c r="L35" s="259">
        <f t="shared" si="20"/>
        <v>1623532</v>
      </c>
      <c r="M35" s="259">
        <f t="shared" si="20"/>
        <v>1701034</v>
      </c>
      <c r="N35" s="259">
        <f t="shared" si="20"/>
        <v>1647003</v>
      </c>
      <c r="O35" s="259">
        <f t="shared" si="20"/>
        <v>1636313</v>
      </c>
      <c r="P35" s="259">
        <f t="shared" si="20"/>
        <v>1458435</v>
      </c>
      <c r="Q35" s="437">
        <f>Q2+Q27</f>
        <v>1382682</v>
      </c>
    </row>
    <row r="36" spans="1:17">
      <c r="Q36" s="438"/>
    </row>
    <row r="37" spans="1:17">
      <c r="Q37" s="438"/>
    </row>
    <row r="38" spans="1:17">
      <c r="Q38" s="438"/>
    </row>
    <row r="39" spans="1:17">
      <c r="Q39" s="438"/>
    </row>
    <row r="40" spans="1:17">
      <c r="Q40" s="438"/>
    </row>
  </sheetData>
  <customSheetViews>
    <customSheetView guid="{8FDDB7D7-275F-4F23-B770-BAF5AFA4F358}">
      <pane xSplit="2" ySplit="1" topLeftCell="H2" activePane="bottomRight" state="frozen"/>
      <selection pane="bottomRight" activeCell="C2" sqref="C2"/>
      <pageMargins left="0.7" right="0.7" top="0.75" bottom="0.75" header="0.3" footer="0.3"/>
    </customSheetView>
    <customSheetView guid="{12F8D032-8143-430B-8DFF-852E8796C402}">
      <selection activeCell="C16" sqref="C16"/>
      <pageMargins left="0.7" right="0.7" top="0.75" bottom="0.75" header="0.3" footer="0.3"/>
    </customSheetView>
    <customSheetView guid="{687A4863-1825-4D63-B732-E76682E6DE4F}" scale="66">
      <selection activeCell="A36" sqref="A36:XFD44"/>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scale="66">
      <pane xSplit="2" ySplit="1" topLeftCell="O14" activePane="bottomRight" state="frozen"/>
      <selection pane="bottomRight" activeCell="P36" sqref="P36"/>
      <pageMargins left="0.7" right="0.7" top="0.75" bottom="0.75" header="0.3" footer="0.3"/>
    </customSheetView>
    <customSheetView guid="{25FAB884-5E17-4008-8139-33D910C7DEFE}">
      <selection activeCell="A40" sqref="A40:XFD40"/>
      <pageMargins left="0.7" right="0.7" top="0.75" bottom="0.75" header="0.3" footer="0.3"/>
    </customSheetView>
    <customSheetView guid="{899D69CD-4B7E-42BC-9944-5BD922EB798C}" topLeftCell="I1">
      <selection activeCell="C58" sqref="C58"/>
      <pageMargins left="0.7" right="0.7" top="0.75" bottom="0.75" header="0.3" footer="0.3"/>
    </customSheetView>
    <customSheetView guid="{9AF4A83C-CF57-4B40-8A74-6A0EA6C2FE5C}">
      <pane xSplit="2" ySplit="1" topLeftCell="J2" activePane="bottomRight" state="frozen"/>
      <selection pane="bottomRight" activeCell="K12" sqref="K12"/>
      <pageMargins left="0.7" right="0.7" top="0.75" bottom="0.75" header="0.3" footer="0.3"/>
    </customSheetView>
    <customSheetView guid="{746490BF-9C44-4B41-8803-BEC9E453576A}">
      <pane xSplit="2" ySplit="1" topLeftCell="H2" activePane="bottomRight" state="frozen"/>
      <selection pane="bottomRight" activeCell="C2" sqref="C2"/>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1"/>
  <sheetViews>
    <sheetView showGridLines="0" showRuler="0" topLeftCell="B1" zoomScale="78" zoomScaleNormal="58" workbookViewId="0">
      <selection activeCell="Q1" sqref="Q1:R1048576"/>
    </sheetView>
  </sheetViews>
  <sheetFormatPr defaultColWidth="9.140625" defaultRowHeight="12" customHeight="1"/>
  <cols>
    <col min="1" max="1" width="50.85546875" style="6" customWidth="1"/>
    <col min="2" max="2" width="66.140625" style="6" customWidth="1"/>
    <col min="3" max="10" width="13.42578125" style="6" customWidth="1"/>
    <col min="11" max="11" width="13.42578125" style="324" customWidth="1"/>
    <col min="12" max="12" width="13.42578125" style="6" customWidth="1"/>
    <col min="13" max="13" width="10.5703125" style="6" customWidth="1"/>
    <col min="14" max="14" width="16.85546875" style="6" customWidth="1"/>
    <col min="15" max="17" width="13.42578125" style="6" customWidth="1"/>
    <col min="18" max="16384" width="9.140625" style="6"/>
  </cols>
  <sheetData>
    <row r="1" spans="1:17" ht="15" customHeight="1" thickBot="1">
      <c r="C1" s="389"/>
      <c r="D1" s="389"/>
      <c r="E1" s="389"/>
      <c r="F1" s="389"/>
      <c r="G1" s="389"/>
      <c r="H1" s="389"/>
      <c r="I1" s="389"/>
      <c r="J1" s="389"/>
      <c r="K1" s="389"/>
      <c r="L1" s="389"/>
      <c r="M1" s="389"/>
      <c r="N1" s="389"/>
      <c r="O1" s="389"/>
      <c r="P1" s="389"/>
      <c r="Q1" s="389"/>
    </row>
    <row r="2" spans="1:17" ht="15" customHeight="1" thickBot="1">
      <c r="A2" s="376" t="s">
        <v>90</v>
      </c>
      <c r="B2" s="376" t="s">
        <v>2</v>
      </c>
      <c r="C2" s="389" t="s">
        <v>189</v>
      </c>
      <c r="D2" s="389" t="s">
        <v>190</v>
      </c>
      <c r="E2" s="389" t="s">
        <v>191</v>
      </c>
      <c r="F2" s="389" t="s">
        <v>192</v>
      </c>
      <c r="G2" s="389" t="s">
        <v>193</v>
      </c>
      <c r="H2" s="389" t="s">
        <v>194</v>
      </c>
      <c r="I2" s="389" t="s">
        <v>195</v>
      </c>
      <c r="J2" s="389" t="s">
        <v>196</v>
      </c>
      <c r="K2" s="389" t="s">
        <v>197</v>
      </c>
      <c r="L2" s="389" t="s">
        <v>198</v>
      </c>
      <c r="M2" s="389" t="s">
        <v>623</v>
      </c>
      <c r="N2" s="389" t="s">
        <v>632</v>
      </c>
      <c r="O2" s="389" t="s">
        <v>670</v>
      </c>
      <c r="P2" s="389" t="s">
        <v>674</v>
      </c>
      <c r="Q2" s="389" t="s">
        <v>685</v>
      </c>
    </row>
    <row r="3" spans="1:17" ht="15" customHeight="1">
      <c r="A3" s="390" t="s">
        <v>199</v>
      </c>
      <c r="B3" s="390" t="s">
        <v>200</v>
      </c>
      <c r="C3" s="391">
        <v>83361</v>
      </c>
      <c r="D3" s="391">
        <v>85518</v>
      </c>
      <c r="E3" s="391">
        <v>83848</v>
      </c>
      <c r="F3" s="391">
        <v>85579</v>
      </c>
      <c r="G3" s="391">
        <v>81499</v>
      </c>
      <c r="H3" s="391">
        <v>80399</v>
      </c>
      <c r="I3" s="391">
        <v>78480</v>
      </c>
      <c r="J3" s="391">
        <v>82879</v>
      </c>
      <c r="K3" s="391">
        <v>81089</v>
      </c>
      <c r="L3" s="391">
        <v>81656</v>
      </c>
      <c r="M3" s="391">
        <v>82570</v>
      </c>
      <c r="N3" s="391">
        <v>81656</v>
      </c>
      <c r="O3" s="391">
        <v>79707</v>
      </c>
      <c r="P3" s="391">
        <v>73557</v>
      </c>
      <c r="Q3" s="391">
        <v>78479</v>
      </c>
    </row>
    <row r="4" spans="1:17" ht="15" customHeight="1">
      <c r="A4" s="392" t="s">
        <v>603</v>
      </c>
      <c r="B4" s="392" t="s">
        <v>604</v>
      </c>
      <c r="C4" s="391">
        <f>72258+5982</f>
        <v>78240</v>
      </c>
      <c r="D4" s="391">
        <f>77780+4018</f>
        <v>81798</v>
      </c>
      <c r="E4" s="391">
        <f>82910+4224</f>
        <v>87134</v>
      </c>
      <c r="F4" s="391">
        <f>83177+6015</f>
        <v>89192</v>
      </c>
      <c r="G4" s="391">
        <f>80684+3733</f>
        <v>84417</v>
      </c>
      <c r="H4" s="391">
        <f>91124+3777</f>
        <v>94901</v>
      </c>
      <c r="I4" s="391">
        <f>90513+4213</f>
        <v>94726</v>
      </c>
      <c r="J4" s="391">
        <f>104858+5981</f>
        <v>110839</v>
      </c>
      <c r="K4" s="391">
        <f>96816+3890</f>
        <v>100706</v>
      </c>
      <c r="L4" s="391">
        <v>99012</v>
      </c>
      <c r="M4" s="391">
        <v>102697</v>
      </c>
      <c r="N4" s="391">
        <v>122720</v>
      </c>
      <c r="O4" s="391">
        <v>93088</v>
      </c>
      <c r="P4" s="391">
        <v>97888</v>
      </c>
      <c r="Q4" s="391">
        <v>109844</v>
      </c>
    </row>
    <row r="5" spans="1:17" ht="15" customHeight="1">
      <c r="A5" s="390" t="s">
        <v>201</v>
      </c>
      <c r="B5" s="390" t="s">
        <v>202</v>
      </c>
      <c r="C5" s="391">
        <v>12788</v>
      </c>
      <c r="D5" s="391">
        <v>11831</v>
      </c>
      <c r="E5" s="391">
        <v>16345</v>
      </c>
      <c r="F5" s="391">
        <v>19339</v>
      </c>
      <c r="G5" s="391">
        <v>14821</v>
      </c>
      <c r="H5" s="391">
        <v>14935</v>
      </c>
      <c r="I5" s="391">
        <v>14740</v>
      </c>
      <c r="J5" s="391">
        <v>26026</v>
      </c>
      <c r="K5" s="391">
        <v>17391</v>
      </c>
      <c r="L5" s="391">
        <v>16853</v>
      </c>
      <c r="M5" s="391">
        <v>17837</v>
      </c>
      <c r="N5" s="391">
        <v>20337</v>
      </c>
      <c r="O5" s="391">
        <v>23810</v>
      </c>
      <c r="P5" s="391">
        <v>18452</v>
      </c>
      <c r="Q5" s="391">
        <v>23531</v>
      </c>
    </row>
    <row r="6" spans="1:17" ht="15" customHeight="1">
      <c r="A6" s="390" t="s">
        <v>203</v>
      </c>
      <c r="B6" s="390" t="s">
        <v>204</v>
      </c>
      <c r="C6" s="391">
        <v>78131</v>
      </c>
      <c r="D6" s="391">
        <v>84907</v>
      </c>
      <c r="E6" s="391">
        <v>91823</v>
      </c>
      <c r="F6" s="391">
        <v>91195</v>
      </c>
      <c r="G6" s="391">
        <v>89091</v>
      </c>
      <c r="H6" s="391">
        <v>100549</v>
      </c>
      <c r="I6" s="391">
        <v>96500</v>
      </c>
      <c r="J6" s="391">
        <v>109843</v>
      </c>
      <c r="K6" s="391">
        <v>106851</v>
      </c>
      <c r="L6" s="391">
        <v>113794</v>
      </c>
      <c r="M6" s="391">
        <v>111614</v>
      </c>
      <c r="N6" s="391">
        <v>110458</v>
      </c>
      <c r="O6" s="391">
        <v>121539</v>
      </c>
      <c r="P6" s="391">
        <v>104174</v>
      </c>
      <c r="Q6" s="391">
        <v>116339</v>
      </c>
    </row>
    <row r="7" spans="1:17" ht="15" customHeight="1">
      <c r="A7" s="390" t="s">
        <v>205</v>
      </c>
      <c r="B7" s="390" t="s">
        <v>206</v>
      </c>
      <c r="C7" s="391">
        <v>127034</v>
      </c>
      <c r="D7" s="391">
        <v>132475</v>
      </c>
      <c r="E7" s="391">
        <v>162421</v>
      </c>
      <c r="F7" s="391">
        <v>155065</v>
      </c>
      <c r="G7" s="391">
        <v>133257</v>
      </c>
      <c r="H7" s="391">
        <v>155297</v>
      </c>
      <c r="I7" s="391">
        <v>136358</v>
      </c>
      <c r="J7" s="391">
        <v>149784</v>
      </c>
      <c r="K7" s="391">
        <v>135129</v>
      </c>
      <c r="L7" s="391">
        <v>155393</v>
      </c>
      <c r="M7" s="391">
        <v>143895</v>
      </c>
      <c r="N7" s="391">
        <v>141362</v>
      </c>
      <c r="O7" s="391">
        <v>132181</v>
      </c>
      <c r="P7" s="391">
        <v>125784</v>
      </c>
      <c r="Q7" s="391">
        <v>148471</v>
      </c>
    </row>
    <row r="8" spans="1:17" ht="15" customHeight="1">
      <c r="A8" s="390" t="s">
        <v>207</v>
      </c>
      <c r="B8" s="390" t="s">
        <v>208</v>
      </c>
      <c r="C8" s="391">
        <v>68751</v>
      </c>
      <c r="D8" s="391">
        <v>71455</v>
      </c>
      <c r="E8" s="391">
        <v>101339</v>
      </c>
      <c r="F8" s="391">
        <v>88892</v>
      </c>
      <c r="G8" s="391">
        <v>73537</v>
      </c>
      <c r="H8" s="391">
        <v>95008</v>
      </c>
      <c r="I8" s="391">
        <v>74282</v>
      </c>
      <c r="J8" s="391">
        <v>86594</v>
      </c>
      <c r="K8" s="391">
        <v>76340</v>
      </c>
      <c r="L8" s="391">
        <v>95744</v>
      </c>
      <c r="M8" s="391">
        <v>83041</v>
      </c>
      <c r="N8" s="391">
        <v>81846</v>
      </c>
      <c r="O8" s="391">
        <v>78588</v>
      </c>
      <c r="P8" s="391">
        <v>76146</v>
      </c>
      <c r="Q8" s="391">
        <v>91268</v>
      </c>
    </row>
    <row r="9" spans="1:17" ht="15" customHeight="1">
      <c r="A9" s="390" t="s">
        <v>209</v>
      </c>
      <c r="B9" s="390" t="s">
        <v>210</v>
      </c>
      <c r="C9" s="391">
        <v>40029</v>
      </c>
      <c r="D9" s="391">
        <v>42160</v>
      </c>
      <c r="E9" s="391">
        <v>42806</v>
      </c>
      <c r="F9" s="391">
        <v>44553</v>
      </c>
      <c r="G9" s="391">
        <v>43118</v>
      </c>
      <c r="H9" s="391">
        <v>42142</v>
      </c>
      <c r="I9" s="391">
        <v>42153</v>
      </c>
      <c r="J9" s="391">
        <v>46848</v>
      </c>
      <c r="K9" s="391">
        <v>44401</v>
      </c>
      <c r="L9" s="391">
        <v>45249</v>
      </c>
      <c r="M9" s="391">
        <v>46451</v>
      </c>
      <c r="N9" s="391">
        <v>49578</v>
      </c>
      <c r="O9" s="391">
        <v>34740</v>
      </c>
      <c r="P9" s="391">
        <v>39290</v>
      </c>
      <c r="Q9" s="391">
        <v>36757</v>
      </c>
    </row>
    <row r="10" spans="1:17" ht="15" customHeight="1">
      <c r="A10" s="390" t="s">
        <v>56</v>
      </c>
      <c r="B10" s="390" t="s">
        <v>44</v>
      </c>
      <c r="C10" s="391">
        <v>3856</v>
      </c>
      <c r="D10" s="391">
        <v>3042</v>
      </c>
      <c r="E10" s="391">
        <v>1626</v>
      </c>
      <c r="F10" s="391">
        <v>1206</v>
      </c>
      <c r="G10" s="391">
        <v>863</v>
      </c>
      <c r="H10" s="391">
        <v>683</v>
      </c>
      <c r="I10" s="391">
        <v>272</v>
      </c>
      <c r="J10" s="391">
        <v>2973</v>
      </c>
      <c r="K10" s="391">
        <v>1713</v>
      </c>
      <c r="L10" s="391">
        <v>1439</v>
      </c>
      <c r="M10" s="391">
        <v>1390</v>
      </c>
      <c r="N10" s="391">
        <v>16407</v>
      </c>
      <c r="O10" s="391">
        <v>4245</v>
      </c>
      <c r="P10" s="391">
        <v>3098</v>
      </c>
      <c r="Q10" s="391">
        <v>4395</v>
      </c>
    </row>
    <row r="11" spans="1:17" ht="15" customHeight="1">
      <c r="A11" s="390" t="s">
        <v>211</v>
      </c>
      <c r="B11" s="390" t="s">
        <v>212</v>
      </c>
      <c r="C11" s="391">
        <v>69065</v>
      </c>
      <c r="D11" s="391">
        <v>74900</v>
      </c>
      <c r="E11" s="391">
        <v>79928</v>
      </c>
      <c r="F11" s="391">
        <v>82582</v>
      </c>
      <c r="G11" s="391">
        <v>81201</v>
      </c>
      <c r="H11" s="391">
        <v>79986</v>
      </c>
      <c r="I11" s="391">
        <v>77014</v>
      </c>
      <c r="J11" s="391">
        <v>72176</v>
      </c>
      <c r="K11" s="391">
        <v>67785</v>
      </c>
      <c r="L11" s="391">
        <v>69875</v>
      </c>
      <c r="M11" s="391">
        <v>72832</v>
      </c>
      <c r="N11" s="391">
        <v>74557</v>
      </c>
      <c r="O11" s="391">
        <v>70263</v>
      </c>
      <c r="P11" s="391">
        <v>52775</v>
      </c>
      <c r="Q11" s="391">
        <v>60320</v>
      </c>
    </row>
    <row r="12" spans="1:17" ht="15" customHeight="1">
      <c r="A12" s="390" t="s">
        <v>57</v>
      </c>
      <c r="B12" s="390" t="s">
        <v>213</v>
      </c>
      <c r="C12" s="391">
        <v>51481</v>
      </c>
      <c r="D12" s="391">
        <v>56656</v>
      </c>
      <c r="E12" s="391">
        <v>54544</v>
      </c>
      <c r="F12" s="391">
        <v>50891</v>
      </c>
      <c r="G12" s="391">
        <v>50144</v>
      </c>
      <c r="H12" s="391">
        <v>54189</v>
      </c>
      <c r="I12" s="391">
        <v>47318</v>
      </c>
      <c r="J12" s="391">
        <v>39261</v>
      </c>
      <c r="K12" s="391">
        <v>48711</v>
      </c>
      <c r="L12" s="391">
        <v>57827</v>
      </c>
      <c r="M12" s="391">
        <v>57861</v>
      </c>
      <c r="N12" s="391">
        <v>58128</v>
      </c>
      <c r="O12" s="391">
        <v>60310</v>
      </c>
      <c r="P12" s="391">
        <v>48450</v>
      </c>
      <c r="Q12" s="391">
        <v>57028</v>
      </c>
    </row>
    <row r="13" spans="1:17" ht="15" customHeight="1">
      <c r="A13" s="390" t="s">
        <v>114</v>
      </c>
      <c r="B13" s="390" t="s">
        <v>113</v>
      </c>
      <c r="C13" s="391">
        <v>22069</v>
      </c>
      <c r="D13" s="391">
        <v>22670</v>
      </c>
      <c r="E13" s="391">
        <v>26344</v>
      </c>
      <c r="F13" s="391">
        <v>17046</v>
      </c>
      <c r="G13" s="391">
        <v>18132</v>
      </c>
      <c r="H13" s="391">
        <v>19072</v>
      </c>
      <c r="I13" s="391">
        <v>14722</v>
      </c>
      <c r="J13" s="391">
        <v>16524</v>
      </c>
      <c r="K13" s="391">
        <v>18716</v>
      </c>
      <c r="L13" s="391">
        <v>13005</v>
      </c>
      <c r="M13" s="391">
        <v>16001</v>
      </c>
      <c r="N13" s="391">
        <v>11908</v>
      </c>
      <c r="O13" s="391">
        <v>28275</v>
      </c>
      <c r="P13" s="391">
        <v>34127</v>
      </c>
      <c r="Q13" s="391">
        <v>27202</v>
      </c>
    </row>
    <row r="14" spans="1:17" ht="15" customHeight="1">
      <c r="A14" s="390" t="s">
        <v>214</v>
      </c>
      <c r="B14" s="390" t="s">
        <v>215</v>
      </c>
      <c r="C14" s="391">
        <v>3974</v>
      </c>
      <c r="D14" s="391">
        <v>4117</v>
      </c>
      <c r="E14" s="391">
        <v>3720</v>
      </c>
      <c r="F14" s="391">
        <v>4417</v>
      </c>
      <c r="G14" s="391">
        <v>4372</v>
      </c>
      <c r="H14" s="391">
        <v>4647</v>
      </c>
      <c r="I14" s="391">
        <v>5021</v>
      </c>
      <c r="J14" s="391">
        <v>5877</v>
      </c>
      <c r="K14" s="391">
        <v>6277</v>
      </c>
      <c r="L14" s="391">
        <v>5998</v>
      </c>
      <c r="M14" s="391">
        <v>6576</v>
      </c>
      <c r="N14" s="391">
        <v>5780</v>
      </c>
      <c r="O14" s="391">
        <v>6455</v>
      </c>
      <c r="P14" s="391">
        <v>5082</v>
      </c>
      <c r="Q14" s="391">
        <v>5750</v>
      </c>
    </row>
    <row r="15" spans="1:17" ht="15" customHeight="1">
      <c r="A15" s="390" t="s">
        <v>216</v>
      </c>
      <c r="B15" s="390" t="s">
        <v>217</v>
      </c>
      <c r="C15" s="391">
        <v>997</v>
      </c>
      <c r="D15" s="391">
        <v>7807</v>
      </c>
      <c r="E15" s="391">
        <v>3951</v>
      </c>
      <c r="F15" s="391">
        <v>1747</v>
      </c>
      <c r="G15" s="391">
        <v>3058</v>
      </c>
      <c r="H15" s="391">
        <v>2827</v>
      </c>
      <c r="I15" s="391">
        <v>1438</v>
      </c>
      <c r="J15" s="391">
        <v>1200</v>
      </c>
      <c r="K15" s="391">
        <v>1034</v>
      </c>
      <c r="L15" s="391">
        <v>964</v>
      </c>
      <c r="M15" s="391">
        <v>2505</v>
      </c>
      <c r="N15" s="391">
        <v>2061</v>
      </c>
      <c r="O15" s="391">
        <v>7222</v>
      </c>
      <c r="P15" s="391">
        <v>958</v>
      </c>
      <c r="Q15" s="391">
        <v>638</v>
      </c>
    </row>
    <row r="16" spans="1:17" s="324" customFormat="1" ht="15" customHeight="1">
      <c r="A16" s="393"/>
      <c r="B16" s="393" t="s">
        <v>43</v>
      </c>
      <c r="C16" s="394">
        <f t="shared" ref="C16:M16" si="0">SUM(C3:C7,C9:C15)</f>
        <v>571025</v>
      </c>
      <c r="D16" s="394">
        <f t="shared" si="0"/>
        <v>607881</v>
      </c>
      <c r="E16" s="394">
        <f t="shared" si="0"/>
        <v>654490</v>
      </c>
      <c r="F16" s="394">
        <f t="shared" si="0"/>
        <v>642812</v>
      </c>
      <c r="G16" s="394">
        <f t="shared" si="0"/>
        <v>603973</v>
      </c>
      <c r="H16" s="394">
        <f t="shared" si="0"/>
        <v>649627</v>
      </c>
      <c r="I16" s="394">
        <f t="shared" si="0"/>
        <v>608742</v>
      </c>
      <c r="J16" s="394">
        <f t="shared" si="0"/>
        <v>664230</v>
      </c>
      <c r="K16" s="394">
        <f t="shared" si="0"/>
        <v>629803</v>
      </c>
      <c r="L16" s="394">
        <f t="shared" si="0"/>
        <v>661065</v>
      </c>
      <c r="M16" s="394">
        <f t="shared" si="0"/>
        <v>662229</v>
      </c>
      <c r="N16" s="394">
        <f>SUM(N3:N7,N9:N15)</f>
        <v>694952</v>
      </c>
      <c r="O16" s="394">
        <f>SUM(O3:O7,O9:O15)</f>
        <v>661835</v>
      </c>
      <c r="P16" s="394">
        <f>SUM(P3:P7,P9:P15)</f>
        <v>603635</v>
      </c>
      <c r="Q16" s="394">
        <f>SUM(Q3:Q7,Q9:Q15)</f>
        <v>668754</v>
      </c>
    </row>
    <row r="17" spans="1:17" ht="18.75" customHeight="1" thickBot="1">
      <c r="A17" s="395" t="s">
        <v>91</v>
      </c>
      <c r="B17" s="395" t="s">
        <v>220</v>
      </c>
      <c r="C17" s="389"/>
      <c r="D17" s="389"/>
      <c r="E17" s="389"/>
      <c r="F17" s="389"/>
      <c r="G17" s="389"/>
      <c r="H17" s="389"/>
      <c r="I17" s="389"/>
      <c r="J17" s="389"/>
      <c r="K17" s="389"/>
      <c r="L17" s="389"/>
      <c r="M17" s="396"/>
      <c r="N17" s="396"/>
      <c r="O17" s="396"/>
      <c r="P17" s="396"/>
      <c r="Q17" s="396"/>
    </row>
    <row r="18" spans="1:17" ht="15" customHeight="1">
      <c r="A18" s="390" t="s">
        <v>221</v>
      </c>
      <c r="B18" s="390" t="s">
        <v>200</v>
      </c>
      <c r="C18" s="391">
        <v>-195</v>
      </c>
      <c r="D18" s="391">
        <v>-165</v>
      </c>
      <c r="E18" s="391">
        <v>-150</v>
      </c>
      <c r="F18" s="391">
        <v>-175</v>
      </c>
      <c r="G18" s="391">
        <v>-185</v>
      </c>
      <c r="H18" s="391">
        <v>-370</v>
      </c>
      <c r="I18" s="391">
        <v>-2809</v>
      </c>
      <c r="J18" s="391">
        <v>-2450</v>
      </c>
      <c r="K18" s="391">
        <v>-241</v>
      </c>
      <c r="L18" s="391">
        <v>-281</v>
      </c>
      <c r="M18" s="391">
        <v>-861</v>
      </c>
      <c r="N18" s="391">
        <v>-984</v>
      </c>
      <c r="O18" s="391">
        <v>-709</v>
      </c>
      <c r="P18" s="391">
        <v>-530</v>
      </c>
      <c r="Q18" s="391">
        <v>-1042</v>
      </c>
    </row>
    <row r="19" spans="1:17" ht="15" customHeight="1">
      <c r="A19" s="390" t="s">
        <v>222</v>
      </c>
      <c r="B19" s="390" t="s">
        <v>223</v>
      </c>
      <c r="C19" s="391">
        <v>-19307</v>
      </c>
      <c r="D19" s="391">
        <v>-31097</v>
      </c>
      <c r="E19" s="391">
        <v>-20120</v>
      </c>
      <c r="F19" s="391">
        <v>-27811</v>
      </c>
      <c r="G19" s="391">
        <v>-11773</v>
      </c>
      <c r="H19" s="391">
        <v>-20883</v>
      </c>
      <c r="I19" s="391">
        <v>-12654</v>
      </c>
      <c r="J19" s="391">
        <v>-68176</v>
      </c>
      <c r="K19" s="391">
        <v>-22419</v>
      </c>
      <c r="L19" s="391">
        <v>-34245</v>
      </c>
      <c r="M19" s="391">
        <v>-26283</v>
      </c>
      <c r="N19" s="391">
        <v>-33782</v>
      </c>
      <c r="O19" s="391">
        <v>-28684</v>
      </c>
      <c r="P19" s="391">
        <v>-16229</v>
      </c>
      <c r="Q19" s="391">
        <v>-8599</v>
      </c>
    </row>
    <row r="20" spans="1:17" ht="15" customHeight="1">
      <c r="A20" s="390" t="s">
        <v>201</v>
      </c>
      <c r="B20" s="390" t="s">
        <v>202</v>
      </c>
      <c r="C20" s="391">
        <v>-564</v>
      </c>
      <c r="D20" s="391">
        <v>-639</v>
      </c>
      <c r="E20" s="391">
        <v>-590</v>
      </c>
      <c r="F20" s="391">
        <f>-3198-C20-D20-E20</f>
        <v>-1405</v>
      </c>
      <c r="G20" s="391">
        <v>-608</v>
      </c>
      <c r="H20" s="391">
        <f>-2399-G20</f>
        <v>-1791</v>
      </c>
      <c r="I20" s="391">
        <f>-4476-G20-H20</f>
        <v>-2077</v>
      </c>
      <c r="J20" s="391">
        <f>-8918-G20-H20-I20</f>
        <v>-4442</v>
      </c>
      <c r="K20" s="391">
        <v>-2899</v>
      </c>
      <c r="L20" s="391">
        <v>-3858</v>
      </c>
      <c r="M20" s="391">
        <v>-1791</v>
      </c>
      <c r="N20" s="391">
        <v>-18136</v>
      </c>
      <c r="O20" s="391">
        <v>-13198</v>
      </c>
      <c r="P20" s="391">
        <v>-12733</v>
      </c>
      <c r="Q20" s="391">
        <v>-15759</v>
      </c>
    </row>
    <row r="21" spans="1:17" ht="15" customHeight="1">
      <c r="A21" s="390" t="s">
        <v>205</v>
      </c>
      <c r="B21" s="390" t="s">
        <v>206</v>
      </c>
      <c r="C21" s="391">
        <v>-38585</v>
      </c>
      <c r="D21" s="391">
        <v>-40082</v>
      </c>
      <c r="E21" s="391">
        <v>-69396</v>
      </c>
      <c r="F21" s="391">
        <v>-56238</v>
      </c>
      <c r="G21" s="391">
        <v>-38851</v>
      </c>
      <c r="H21" s="391">
        <v>-59617</v>
      </c>
      <c r="I21" s="391">
        <v>-39434</v>
      </c>
      <c r="J21" s="391">
        <v>-50360</v>
      </c>
      <c r="K21" s="391">
        <v>-40656</v>
      </c>
      <c r="L21" s="391">
        <v>-57297</v>
      </c>
      <c r="M21" s="391">
        <v>-43102</v>
      </c>
      <c r="N21" s="391">
        <v>-46809</v>
      </c>
      <c r="O21" s="391">
        <v>-43280</v>
      </c>
      <c r="P21" s="391">
        <v>-40369</v>
      </c>
      <c r="Q21" s="391">
        <v>-48599</v>
      </c>
    </row>
    <row r="22" spans="1:17" ht="15" customHeight="1">
      <c r="A22" s="390" t="s">
        <v>207</v>
      </c>
      <c r="B22" s="390" t="s">
        <v>208</v>
      </c>
      <c r="C22" s="391">
        <v>-26239</v>
      </c>
      <c r="D22" s="391">
        <v>-27778</v>
      </c>
      <c r="E22" s="391">
        <v>-56218</v>
      </c>
      <c r="F22" s="391">
        <v>-42235</v>
      </c>
      <c r="G22" s="391">
        <v>-27583</v>
      </c>
      <c r="H22" s="391">
        <v>-47120</v>
      </c>
      <c r="I22" s="391">
        <v>-27091</v>
      </c>
      <c r="J22" s="391">
        <v>-38452</v>
      </c>
      <c r="K22" s="391">
        <v>-30812</v>
      </c>
      <c r="L22" s="391">
        <v>-46330</v>
      </c>
      <c r="M22" s="391">
        <v>-32529</v>
      </c>
      <c r="N22" s="391">
        <v>-33022</v>
      </c>
      <c r="O22" s="391">
        <v>-30654</v>
      </c>
      <c r="P22" s="391">
        <v>-27009</v>
      </c>
      <c r="Q22" s="391">
        <v>-34942</v>
      </c>
    </row>
    <row r="23" spans="1:17" ht="15" customHeight="1">
      <c r="A23" s="390" t="s">
        <v>209</v>
      </c>
      <c r="B23" s="390" t="s">
        <v>210</v>
      </c>
      <c r="C23" s="391">
        <v>-8923</v>
      </c>
      <c r="D23" s="391">
        <v>-9623</v>
      </c>
      <c r="E23" s="391">
        <v>-5523</v>
      </c>
      <c r="F23" s="391">
        <v>-9193</v>
      </c>
      <c r="G23" s="391">
        <v>-8707</v>
      </c>
      <c r="H23" s="391">
        <v>-10189</v>
      </c>
      <c r="I23" s="391">
        <v>-9230</v>
      </c>
      <c r="J23" s="391">
        <v>-10451</v>
      </c>
      <c r="K23" s="391">
        <v>-9122</v>
      </c>
      <c r="L23" s="391">
        <v>-10125</v>
      </c>
      <c r="M23" s="391">
        <v>-10119</v>
      </c>
      <c r="N23" s="391">
        <v>-10530</v>
      </c>
      <c r="O23" s="391">
        <v>-1522</v>
      </c>
      <c r="P23" s="391">
        <v>-6983</v>
      </c>
      <c r="Q23" s="391">
        <v>-6302</v>
      </c>
    </row>
    <row r="24" spans="1:17" ht="15" customHeight="1">
      <c r="A24" s="390" t="s">
        <v>114</v>
      </c>
      <c r="B24" s="390" t="s">
        <v>113</v>
      </c>
      <c r="C24" s="391">
        <v>-3172</v>
      </c>
      <c r="D24" s="391">
        <v>-2739</v>
      </c>
      <c r="E24" s="391">
        <v>-2616</v>
      </c>
      <c r="F24" s="391">
        <v>-2648</v>
      </c>
      <c r="G24" s="391">
        <v>-2731</v>
      </c>
      <c r="H24" s="391">
        <v>-2388</v>
      </c>
      <c r="I24" s="391">
        <v>-2192</v>
      </c>
      <c r="J24" s="391">
        <v>-2283</v>
      </c>
      <c r="K24" s="391">
        <v>-2503</v>
      </c>
      <c r="L24" s="391">
        <v>-1783</v>
      </c>
      <c r="M24" s="391">
        <v>-2068</v>
      </c>
      <c r="N24" s="391">
        <v>-1944</v>
      </c>
      <c r="O24" s="391">
        <v>-3614</v>
      </c>
      <c r="P24" s="391">
        <v>-5900</v>
      </c>
      <c r="Q24" s="391">
        <v>-4043</v>
      </c>
    </row>
    <row r="25" spans="1:17" ht="12.95" customHeight="1">
      <c r="A25" s="390" t="s">
        <v>224</v>
      </c>
      <c r="B25" s="390" t="s">
        <v>212</v>
      </c>
      <c r="C25" s="391">
        <v>-1630</v>
      </c>
      <c r="D25" s="391">
        <v>-1620</v>
      </c>
      <c r="E25" s="391">
        <v>-1618</v>
      </c>
      <c r="F25" s="391">
        <v>-1740</v>
      </c>
      <c r="G25" s="391">
        <v>-1829</v>
      </c>
      <c r="H25" s="391">
        <v>-1799</v>
      </c>
      <c r="I25" s="391">
        <v>-1512</v>
      </c>
      <c r="J25" s="391">
        <v>-1828</v>
      </c>
      <c r="K25" s="391">
        <v>-2139</v>
      </c>
      <c r="L25" s="391">
        <v>-1480</v>
      </c>
      <c r="M25" s="391">
        <v>-2017</v>
      </c>
      <c r="N25" s="391">
        <v>-5761</v>
      </c>
      <c r="O25" s="391">
        <v>-6001</v>
      </c>
      <c r="P25" s="391">
        <v>-5084</v>
      </c>
      <c r="Q25" s="391">
        <v>-5055</v>
      </c>
    </row>
    <row r="26" spans="1:17" ht="15" customHeight="1">
      <c r="A26" s="390" t="s">
        <v>57</v>
      </c>
      <c r="B26" s="390" t="s">
        <v>213</v>
      </c>
      <c r="C26" s="391">
        <v>-2140</v>
      </c>
      <c r="D26" s="391">
        <v>-2489</v>
      </c>
      <c r="E26" s="391">
        <v>-6266</v>
      </c>
      <c r="F26" s="391">
        <v>-3876</v>
      </c>
      <c r="G26" s="391">
        <v>-2209</v>
      </c>
      <c r="H26" s="391">
        <v>-1950</v>
      </c>
      <c r="I26" s="391">
        <v>-2157</v>
      </c>
      <c r="J26" s="391">
        <v>-2153</v>
      </c>
      <c r="K26" s="391">
        <v>-5138</v>
      </c>
      <c r="L26" s="391">
        <v>-5187</v>
      </c>
      <c r="M26" s="391">
        <v>-4634</v>
      </c>
      <c r="N26" s="391">
        <v>-4774</v>
      </c>
      <c r="O26" s="391">
        <v>-4340</v>
      </c>
      <c r="P26" s="391">
        <v>-4589</v>
      </c>
      <c r="Q26" s="391">
        <v>-4233</v>
      </c>
    </row>
    <row r="27" spans="1:17" ht="15" customHeight="1">
      <c r="A27" s="390" t="s">
        <v>56</v>
      </c>
      <c r="B27" s="390" t="s">
        <v>44</v>
      </c>
      <c r="C27" s="391">
        <v>-5805</v>
      </c>
      <c r="D27" s="391">
        <v>-5832</v>
      </c>
      <c r="E27" s="391">
        <v>-5811</v>
      </c>
      <c r="F27" s="391">
        <v>-4130</v>
      </c>
      <c r="G27" s="391">
        <v>-5309</v>
      </c>
      <c r="H27" s="391">
        <v>-4955</v>
      </c>
      <c r="I27" s="391">
        <v>-4486</v>
      </c>
      <c r="J27" s="391">
        <v>-3058</v>
      </c>
      <c r="K27" s="391">
        <v>-2826</v>
      </c>
      <c r="L27" s="391">
        <v>-2205</v>
      </c>
      <c r="M27" s="391">
        <v>-2130</v>
      </c>
      <c r="N27" s="391">
        <v>-3514</v>
      </c>
      <c r="O27" s="391">
        <v>-2307</v>
      </c>
      <c r="P27" s="391">
        <v>-2139</v>
      </c>
      <c r="Q27" s="391">
        <v>-3445</v>
      </c>
    </row>
    <row r="28" spans="1:17" ht="15" customHeight="1">
      <c r="A28" s="390" t="s">
        <v>214</v>
      </c>
      <c r="B28" s="390" t="s">
        <v>215</v>
      </c>
      <c r="C28" s="391">
        <v>-5967</v>
      </c>
      <c r="D28" s="391">
        <v>-7008</v>
      </c>
      <c r="E28" s="391">
        <v>-6769</v>
      </c>
      <c r="F28" s="391">
        <v>-7440</v>
      </c>
      <c r="G28" s="391">
        <v>-7044</v>
      </c>
      <c r="H28" s="391">
        <v>-6451</v>
      </c>
      <c r="I28" s="391">
        <v>-6894</v>
      </c>
      <c r="J28" s="391">
        <v>-6933</v>
      </c>
      <c r="K28" s="391">
        <v>-7564</v>
      </c>
      <c r="L28" s="391">
        <v>-7575</v>
      </c>
      <c r="M28" s="391">
        <v>-7424</v>
      </c>
      <c r="N28" s="391">
        <v>-7864</v>
      </c>
      <c r="O28" s="391">
        <v>-7287</v>
      </c>
      <c r="P28" s="391">
        <v>-6532</v>
      </c>
      <c r="Q28" s="391">
        <v>-6759</v>
      </c>
    </row>
    <row r="29" spans="1:17" ht="15" customHeight="1">
      <c r="A29" s="390" t="s">
        <v>225</v>
      </c>
      <c r="B29" s="390" t="s">
        <v>226</v>
      </c>
      <c r="C29" s="391">
        <v>-1801</v>
      </c>
      <c r="D29" s="391">
        <v>-3050</v>
      </c>
      <c r="E29" s="391">
        <v>-3405</v>
      </c>
      <c r="F29" s="391">
        <v>-3662</v>
      </c>
      <c r="G29" s="391">
        <v>-2112</v>
      </c>
      <c r="H29" s="391">
        <v>-2403</v>
      </c>
      <c r="I29" s="391">
        <v>-2359</v>
      </c>
      <c r="J29" s="391">
        <v>-2470</v>
      </c>
      <c r="K29" s="391">
        <v>-2314</v>
      </c>
      <c r="L29" s="391">
        <v>-2153</v>
      </c>
      <c r="M29" s="391">
        <v>-2257</v>
      </c>
      <c r="N29" s="391">
        <v>-2189</v>
      </c>
      <c r="O29" s="391">
        <v>-2099</v>
      </c>
      <c r="P29" s="391">
        <v>-2575</v>
      </c>
      <c r="Q29" s="391">
        <v>-2628</v>
      </c>
    </row>
    <row r="30" spans="1:17" ht="15" customHeight="1">
      <c r="A30" s="390" t="s">
        <v>218</v>
      </c>
      <c r="B30" s="390" t="s">
        <v>219</v>
      </c>
      <c r="C30" s="391">
        <f>-8306-C20</f>
        <v>-7742</v>
      </c>
      <c r="D30" s="391">
        <f>-8534-D20</f>
        <v>-7895</v>
      </c>
      <c r="E30" s="391">
        <f>-5911-E20</f>
        <v>-5321</v>
      </c>
      <c r="F30" s="391">
        <f>-10516-F20</f>
        <v>-9111</v>
      </c>
      <c r="G30" s="391">
        <f>-8111-G20</f>
        <v>-7503</v>
      </c>
      <c r="H30" s="391">
        <f>-8862-H20</f>
        <v>-7071</v>
      </c>
      <c r="I30" s="391">
        <f>-9365-I20</f>
        <v>-7288</v>
      </c>
      <c r="J30" s="391">
        <f>-16791-J20</f>
        <v>-12349</v>
      </c>
      <c r="K30" s="391">
        <f>-14819-K20</f>
        <v>-11920</v>
      </c>
      <c r="L30" s="391">
        <v>-12519</v>
      </c>
      <c r="M30" s="391">
        <v>-15496</v>
      </c>
      <c r="N30" s="391">
        <v>-16960</v>
      </c>
      <c r="O30" s="391">
        <f>-10100-451</f>
        <v>-10551</v>
      </c>
      <c r="P30" s="391">
        <f>-7211-930</f>
        <v>-8141</v>
      </c>
      <c r="Q30" s="391">
        <v>-9559</v>
      </c>
    </row>
    <row r="31" spans="1:17" s="324" customFormat="1" ht="15" customHeight="1">
      <c r="A31" s="393"/>
      <c r="B31" s="393" t="s">
        <v>43</v>
      </c>
      <c r="C31" s="394">
        <f t="shared" ref="C31:O31" si="1">SUM(C18:C21,C23:C30)</f>
        <v>-95831</v>
      </c>
      <c r="D31" s="394">
        <f t="shared" si="1"/>
        <v>-112239</v>
      </c>
      <c r="E31" s="394">
        <f t="shared" si="1"/>
        <v>-127585</v>
      </c>
      <c r="F31" s="394">
        <f t="shared" si="1"/>
        <v>-127429</v>
      </c>
      <c r="G31" s="394">
        <f t="shared" si="1"/>
        <v>-88861</v>
      </c>
      <c r="H31" s="394">
        <f t="shared" si="1"/>
        <v>-119867</v>
      </c>
      <c r="I31" s="394">
        <f t="shared" si="1"/>
        <v>-93092</v>
      </c>
      <c r="J31" s="394">
        <f t="shared" si="1"/>
        <v>-166953</v>
      </c>
      <c r="K31" s="394">
        <f t="shared" si="1"/>
        <v>-109741</v>
      </c>
      <c r="L31" s="394">
        <f t="shared" si="1"/>
        <v>-138708</v>
      </c>
      <c r="M31" s="394">
        <f t="shared" si="1"/>
        <v>-118182</v>
      </c>
      <c r="N31" s="394">
        <f t="shared" si="1"/>
        <v>-153247</v>
      </c>
      <c r="O31" s="394">
        <f t="shared" si="1"/>
        <v>-123592</v>
      </c>
      <c r="P31" s="394">
        <f t="shared" ref="P31:Q31" si="2">SUM(P18:P21,P23:P30)</f>
        <v>-111804</v>
      </c>
      <c r="Q31" s="394">
        <f t="shared" si="2"/>
        <v>-116023</v>
      </c>
    </row>
    <row r="32" spans="1:17" ht="15" customHeight="1">
      <c r="P32" s="324"/>
      <c r="Q32" s="324"/>
    </row>
    <row r="33" spans="1:25" ht="15" customHeight="1">
      <c r="A33" s="393" t="s">
        <v>55</v>
      </c>
      <c r="B33" s="393" t="s">
        <v>4</v>
      </c>
      <c r="C33" s="394">
        <f t="shared" ref="C33:M33" si="3">SUM(C16,C31)</f>
        <v>475194</v>
      </c>
      <c r="D33" s="394">
        <f t="shared" si="3"/>
        <v>495642</v>
      </c>
      <c r="E33" s="394">
        <f t="shared" si="3"/>
        <v>526905</v>
      </c>
      <c r="F33" s="394">
        <f t="shared" si="3"/>
        <v>515383</v>
      </c>
      <c r="G33" s="394">
        <f t="shared" si="3"/>
        <v>515112</v>
      </c>
      <c r="H33" s="394">
        <f t="shared" si="3"/>
        <v>529760</v>
      </c>
      <c r="I33" s="394">
        <f t="shared" si="3"/>
        <v>515650</v>
      </c>
      <c r="J33" s="394">
        <f t="shared" si="3"/>
        <v>497277</v>
      </c>
      <c r="K33" s="394">
        <f t="shared" si="3"/>
        <v>520062</v>
      </c>
      <c r="L33" s="394">
        <f t="shared" si="3"/>
        <v>522357</v>
      </c>
      <c r="M33" s="394">
        <f t="shared" si="3"/>
        <v>544047</v>
      </c>
      <c r="N33" s="394">
        <f>SUM(N16,N31)</f>
        <v>541705</v>
      </c>
      <c r="O33" s="394">
        <f>SUM(O16,O31)</f>
        <v>538243</v>
      </c>
      <c r="P33" s="394">
        <f>SUM(P16,P31)</f>
        <v>491831</v>
      </c>
      <c r="Q33" s="394">
        <f>SUM(Q16,Q31)</f>
        <v>552731</v>
      </c>
      <c r="R33" s="29"/>
      <c r="S33" s="29"/>
      <c r="T33" s="29"/>
      <c r="U33" s="29"/>
      <c r="V33" s="29"/>
      <c r="W33" s="29"/>
      <c r="X33" s="29"/>
      <c r="Y33" s="29"/>
    </row>
    <row r="34" spans="1:25" ht="15" customHeight="1">
      <c r="R34" s="29"/>
      <c r="S34" s="29"/>
      <c r="T34" s="29"/>
      <c r="U34" s="29"/>
      <c r="V34" s="29"/>
      <c r="W34" s="29"/>
      <c r="X34" s="29"/>
      <c r="Y34" s="29"/>
    </row>
    <row r="35" spans="1:25" ht="15" customHeight="1" thickBot="1">
      <c r="C35" s="397"/>
      <c r="D35" s="389"/>
      <c r="E35" s="389"/>
      <c r="F35" s="389"/>
      <c r="G35" s="389"/>
      <c r="H35" s="389"/>
      <c r="I35" s="389"/>
      <c r="J35" s="389"/>
      <c r="K35" s="389"/>
      <c r="L35" s="389"/>
      <c r="M35" s="389"/>
      <c r="N35" s="389"/>
      <c r="O35" s="389"/>
      <c r="P35" s="389"/>
      <c r="Q35" s="389"/>
      <c r="R35" s="29"/>
      <c r="S35" s="29"/>
      <c r="T35" s="29"/>
      <c r="U35" s="29"/>
      <c r="V35" s="29"/>
      <c r="W35" s="29"/>
      <c r="X35" s="29"/>
      <c r="Y35" s="29"/>
    </row>
    <row r="36" spans="1:25" ht="15" customHeight="1" thickBot="1">
      <c r="A36" s="376" t="s">
        <v>55</v>
      </c>
      <c r="B36" s="376" t="s">
        <v>4</v>
      </c>
      <c r="C36" s="398" t="s">
        <v>189</v>
      </c>
      <c r="D36" s="389" t="s">
        <v>190</v>
      </c>
      <c r="E36" s="389" t="s">
        <v>191</v>
      </c>
      <c r="F36" s="389" t="str">
        <f>F2</f>
        <v>IV Q 2017</v>
      </c>
      <c r="G36" s="389" t="str">
        <f>G2</f>
        <v>I Q 2018</v>
      </c>
      <c r="H36" s="389" t="str">
        <f>H2</f>
        <v>II Q 2018</v>
      </c>
      <c r="I36" s="389" t="s">
        <v>195</v>
      </c>
      <c r="J36" s="389" t="str">
        <f>J2</f>
        <v>IV Q 2018</v>
      </c>
      <c r="K36" s="389" t="s">
        <v>197</v>
      </c>
      <c r="L36" s="389" t="s">
        <v>198</v>
      </c>
      <c r="M36" s="389" t="s">
        <v>623</v>
      </c>
      <c r="N36" s="389" t="str">
        <f>N2</f>
        <v>IV Q 2019</v>
      </c>
      <c r="O36" s="389" t="str">
        <f>O2</f>
        <v>I Q 2020</v>
      </c>
      <c r="P36" s="389" t="str">
        <f>P2</f>
        <v>II Q 2020</v>
      </c>
      <c r="Q36" s="389" t="str">
        <f>Q2</f>
        <v>III Q 2020</v>
      </c>
      <c r="R36" s="29"/>
      <c r="S36" s="29"/>
      <c r="T36" s="29"/>
      <c r="U36" s="29"/>
      <c r="V36" s="29"/>
      <c r="W36" s="29"/>
      <c r="X36" s="29"/>
      <c r="Y36" s="29"/>
    </row>
    <row r="37" spans="1:25" ht="15" customHeight="1">
      <c r="A37" s="390" t="s">
        <v>199</v>
      </c>
      <c r="B37" s="390" t="s">
        <v>200</v>
      </c>
      <c r="C37" s="391">
        <f t="shared" ref="C37:L37" si="4">C3+C18</f>
        <v>83166</v>
      </c>
      <c r="D37" s="391">
        <f t="shared" si="4"/>
        <v>85353</v>
      </c>
      <c r="E37" s="391">
        <f t="shared" si="4"/>
        <v>83698</v>
      </c>
      <c r="F37" s="391">
        <f t="shared" si="4"/>
        <v>85404</v>
      </c>
      <c r="G37" s="391">
        <f t="shared" si="4"/>
        <v>81314</v>
      </c>
      <c r="H37" s="391">
        <f t="shared" si="4"/>
        <v>80029</v>
      </c>
      <c r="I37" s="391">
        <f t="shared" si="4"/>
        <v>75671</v>
      </c>
      <c r="J37" s="391">
        <f t="shared" si="4"/>
        <v>80429</v>
      </c>
      <c r="K37" s="391">
        <f t="shared" si="4"/>
        <v>80848</v>
      </c>
      <c r="L37" s="391">
        <f t="shared" si="4"/>
        <v>81375</v>
      </c>
      <c r="M37" s="391">
        <v>81709</v>
      </c>
      <c r="N37" s="391">
        <v>80673</v>
      </c>
      <c r="O37" s="391">
        <v>78999</v>
      </c>
      <c r="P37" s="391">
        <f t="shared" ref="P37:Q39" si="5">P3+P18</f>
        <v>73027</v>
      </c>
      <c r="Q37" s="391">
        <f t="shared" si="5"/>
        <v>77437</v>
      </c>
      <c r="R37" s="29"/>
      <c r="S37" s="29"/>
      <c r="T37" s="29"/>
      <c r="U37" s="29"/>
      <c r="V37" s="29"/>
      <c r="W37" s="29"/>
      <c r="X37" s="29"/>
      <c r="Y37" s="29"/>
    </row>
    <row r="38" spans="1:25" ht="15" customHeight="1">
      <c r="A38" s="390" t="s">
        <v>620</v>
      </c>
      <c r="B38" s="390" t="s">
        <v>604</v>
      </c>
      <c r="C38" s="391">
        <f t="shared" ref="C38:L38" si="6">C4+C19</f>
        <v>58933</v>
      </c>
      <c r="D38" s="391">
        <f t="shared" si="6"/>
        <v>50701</v>
      </c>
      <c r="E38" s="391">
        <f t="shared" si="6"/>
        <v>67014</v>
      </c>
      <c r="F38" s="391">
        <f t="shared" si="6"/>
        <v>61381</v>
      </c>
      <c r="G38" s="391">
        <f t="shared" si="6"/>
        <v>72644</v>
      </c>
      <c r="H38" s="391">
        <f t="shared" si="6"/>
        <v>74018</v>
      </c>
      <c r="I38" s="391">
        <f t="shared" si="6"/>
        <v>82072</v>
      </c>
      <c r="J38" s="391">
        <f t="shared" si="6"/>
        <v>42663</v>
      </c>
      <c r="K38" s="391">
        <f t="shared" si="6"/>
        <v>78287</v>
      </c>
      <c r="L38" s="391">
        <f t="shared" si="6"/>
        <v>64767</v>
      </c>
      <c r="M38" s="391">
        <v>76414</v>
      </c>
      <c r="N38" s="391">
        <v>88937</v>
      </c>
      <c r="O38" s="391">
        <v>64404</v>
      </c>
      <c r="P38" s="391">
        <f t="shared" si="5"/>
        <v>81659</v>
      </c>
      <c r="Q38" s="391">
        <f t="shared" si="5"/>
        <v>101245</v>
      </c>
      <c r="R38" s="29"/>
      <c r="S38" s="29"/>
      <c r="T38" s="29"/>
      <c r="U38" s="29"/>
      <c r="V38" s="29"/>
      <c r="W38" s="29"/>
      <c r="X38" s="29"/>
      <c r="Y38" s="29"/>
    </row>
    <row r="39" spans="1:25" ht="15" customHeight="1">
      <c r="A39" s="390" t="s">
        <v>201</v>
      </c>
      <c r="B39" s="390" t="s">
        <v>202</v>
      </c>
      <c r="C39" s="391">
        <f>C5+C20</f>
        <v>12224</v>
      </c>
      <c r="D39" s="391">
        <f t="shared" ref="D39:L39" si="7">D5+D20</f>
        <v>11192</v>
      </c>
      <c r="E39" s="391">
        <f t="shared" si="7"/>
        <v>15755</v>
      </c>
      <c r="F39" s="391">
        <f t="shared" si="7"/>
        <v>17934</v>
      </c>
      <c r="G39" s="391">
        <f t="shared" si="7"/>
        <v>14213</v>
      </c>
      <c r="H39" s="391">
        <f t="shared" si="7"/>
        <v>13144</v>
      </c>
      <c r="I39" s="391">
        <f t="shared" si="7"/>
        <v>12663</v>
      </c>
      <c r="J39" s="391">
        <f t="shared" si="7"/>
        <v>21584</v>
      </c>
      <c r="K39" s="391">
        <f t="shared" si="7"/>
        <v>14492</v>
      </c>
      <c r="L39" s="391">
        <f t="shared" si="7"/>
        <v>12995</v>
      </c>
      <c r="M39" s="391">
        <v>16046</v>
      </c>
      <c r="N39" s="391">
        <v>2201</v>
      </c>
      <c r="O39" s="391">
        <v>10612</v>
      </c>
      <c r="P39" s="391">
        <f t="shared" si="5"/>
        <v>5719</v>
      </c>
      <c r="Q39" s="391">
        <f t="shared" si="5"/>
        <v>7772</v>
      </c>
      <c r="R39" s="29"/>
      <c r="S39" s="29"/>
      <c r="T39" s="29"/>
      <c r="U39" s="29"/>
      <c r="V39" s="29"/>
      <c r="W39" s="29"/>
      <c r="X39" s="29"/>
      <c r="Y39" s="29"/>
    </row>
    <row r="40" spans="1:25" ht="15" customHeight="1">
      <c r="A40" s="390" t="s">
        <v>203</v>
      </c>
      <c r="B40" s="390" t="s">
        <v>204</v>
      </c>
      <c r="C40" s="391">
        <f t="shared" ref="C40:L40" si="8">C6</f>
        <v>78131</v>
      </c>
      <c r="D40" s="391">
        <f t="shared" si="8"/>
        <v>84907</v>
      </c>
      <c r="E40" s="391">
        <f t="shared" si="8"/>
        <v>91823</v>
      </c>
      <c r="F40" s="391">
        <f t="shared" si="8"/>
        <v>91195</v>
      </c>
      <c r="G40" s="391">
        <f t="shared" si="8"/>
        <v>89091</v>
      </c>
      <c r="H40" s="391">
        <f t="shared" si="8"/>
        <v>100549</v>
      </c>
      <c r="I40" s="391">
        <f t="shared" si="8"/>
        <v>96500</v>
      </c>
      <c r="J40" s="391">
        <f t="shared" si="8"/>
        <v>109843</v>
      </c>
      <c r="K40" s="391">
        <f t="shared" si="8"/>
        <v>106851</v>
      </c>
      <c r="L40" s="391">
        <f t="shared" si="8"/>
        <v>113794</v>
      </c>
      <c r="M40" s="391">
        <v>111614</v>
      </c>
      <c r="N40" s="391">
        <v>110458</v>
      </c>
      <c r="O40" s="391">
        <v>121539</v>
      </c>
      <c r="P40" s="391">
        <f t="shared" ref="P40:Q40" si="9">P6</f>
        <v>104174</v>
      </c>
      <c r="Q40" s="391">
        <f t="shared" si="9"/>
        <v>116339</v>
      </c>
      <c r="R40" s="29"/>
      <c r="S40" s="29"/>
      <c r="T40" s="29"/>
      <c r="U40" s="29"/>
      <c r="V40" s="29"/>
      <c r="W40" s="29"/>
      <c r="X40" s="29"/>
      <c r="Y40" s="29"/>
    </row>
    <row r="41" spans="1:25" ht="15" customHeight="1">
      <c r="A41" s="390" t="s">
        <v>205</v>
      </c>
      <c r="B41" s="390" t="s">
        <v>206</v>
      </c>
      <c r="C41" s="391">
        <f t="shared" ref="C41:L41" si="10">C7+C21</f>
        <v>88449</v>
      </c>
      <c r="D41" s="391">
        <f t="shared" si="10"/>
        <v>92393</v>
      </c>
      <c r="E41" s="391">
        <f t="shared" si="10"/>
        <v>93025</v>
      </c>
      <c r="F41" s="391">
        <f t="shared" si="10"/>
        <v>98827</v>
      </c>
      <c r="G41" s="391">
        <f t="shared" si="10"/>
        <v>94406</v>
      </c>
      <c r="H41" s="391">
        <f t="shared" si="10"/>
        <v>95680</v>
      </c>
      <c r="I41" s="391">
        <f t="shared" si="10"/>
        <v>96924</v>
      </c>
      <c r="J41" s="391">
        <f t="shared" si="10"/>
        <v>99424</v>
      </c>
      <c r="K41" s="391">
        <f t="shared" si="10"/>
        <v>94473</v>
      </c>
      <c r="L41" s="391">
        <f t="shared" si="10"/>
        <v>98096</v>
      </c>
      <c r="M41" s="391">
        <v>100793</v>
      </c>
      <c r="N41" s="391">
        <v>94553</v>
      </c>
      <c r="O41" s="391">
        <v>88902</v>
      </c>
      <c r="P41" s="391">
        <f t="shared" ref="P41:Q43" si="11">P7+P21</f>
        <v>85415</v>
      </c>
      <c r="Q41" s="391">
        <f t="shared" si="11"/>
        <v>99872</v>
      </c>
      <c r="R41" s="29"/>
      <c r="S41" s="29"/>
      <c r="T41" s="29"/>
      <c r="U41" s="29"/>
      <c r="V41" s="29"/>
      <c r="W41" s="29"/>
      <c r="X41" s="29"/>
      <c r="Y41" s="29"/>
    </row>
    <row r="42" spans="1:25" ht="15" customHeight="1">
      <c r="A42" s="390" t="s">
        <v>207</v>
      </c>
      <c r="B42" s="390" t="s">
        <v>208</v>
      </c>
      <c r="C42" s="391">
        <f t="shared" ref="C42:L42" si="12">C8+C22</f>
        <v>42512</v>
      </c>
      <c r="D42" s="391">
        <f t="shared" si="12"/>
        <v>43677</v>
      </c>
      <c r="E42" s="391">
        <f t="shared" si="12"/>
        <v>45121</v>
      </c>
      <c r="F42" s="391">
        <f t="shared" si="12"/>
        <v>46657</v>
      </c>
      <c r="G42" s="391">
        <f t="shared" si="12"/>
        <v>45954</v>
      </c>
      <c r="H42" s="391">
        <f t="shared" si="12"/>
        <v>47888</v>
      </c>
      <c r="I42" s="391">
        <f t="shared" si="12"/>
        <v>47191</v>
      </c>
      <c r="J42" s="391">
        <f t="shared" si="12"/>
        <v>48142</v>
      </c>
      <c r="K42" s="391">
        <f t="shared" si="12"/>
        <v>45528</v>
      </c>
      <c r="L42" s="391">
        <f t="shared" si="12"/>
        <v>49414</v>
      </c>
      <c r="M42" s="391">
        <v>50512</v>
      </c>
      <c r="N42" s="391">
        <v>48824</v>
      </c>
      <c r="O42" s="391">
        <v>47935</v>
      </c>
      <c r="P42" s="391">
        <f t="shared" si="11"/>
        <v>49137</v>
      </c>
      <c r="Q42" s="391">
        <f t="shared" si="11"/>
        <v>56326</v>
      </c>
      <c r="R42" s="29"/>
      <c r="S42" s="29"/>
      <c r="T42" s="29"/>
      <c r="U42" s="29"/>
      <c r="V42" s="29"/>
      <c r="W42" s="29"/>
      <c r="X42" s="29"/>
      <c r="Y42" s="29"/>
    </row>
    <row r="43" spans="1:25" ht="15" customHeight="1">
      <c r="A43" s="390" t="s">
        <v>209</v>
      </c>
      <c r="B43" s="390" t="s">
        <v>210</v>
      </c>
      <c r="C43" s="391">
        <f t="shared" ref="C43:L43" si="13">C9+C23</f>
        <v>31106</v>
      </c>
      <c r="D43" s="391">
        <f t="shared" si="13"/>
        <v>32537</v>
      </c>
      <c r="E43" s="391">
        <f t="shared" si="13"/>
        <v>37283</v>
      </c>
      <c r="F43" s="391">
        <f t="shared" si="13"/>
        <v>35360</v>
      </c>
      <c r="G43" s="391">
        <f t="shared" si="13"/>
        <v>34411</v>
      </c>
      <c r="H43" s="391">
        <f t="shared" si="13"/>
        <v>31953</v>
      </c>
      <c r="I43" s="391">
        <f t="shared" si="13"/>
        <v>32923</v>
      </c>
      <c r="J43" s="391">
        <f t="shared" si="13"/>
        <v>36397</v>
      </c>
      <c r="K43" s="391">
        <f t="shared" si="13"/>
        <v>35279</v>
      </c>
      <c r="L43" s="391">
        <f t="shared" si="13"/>
        <v>35124</v>
      </c>
      <c r="M43" s="391">
        <v>36332</v>
      </c>
      <c r="N43" s="391">
        <v>39048</v>
      </c>
      <c r="O43" s="391">
        <v>33218</v>
      </c>
      <c r="P43" s="391">
        <f t="shared" si="11"/>
        <v>32307</v>
      </c>
      <c r="Q43" s="391">
        <f t="shared" si="11"/>
        <v>30455</v>
      </c>
      <c r="R43" s="29"/>
      <c r="S43" s="29"/>
      <c r="T43" s="29"/>
      <c r="U43" s="29"/>
      <c r="V43" s="29"/>
      <c r="W43" s="29"/>
      <c r="X43" s="29"/>
      <c r="Y43" s="29"/>
    </row>
    <row r="44" spans="1:25" ht="15" customHeight="1">
      <c r="A44" s="390" t="s">
        <v>56</v>
      </c>
      <c r="B44" s="390" t="s">
        <v>44</v>
      </c>
      <c r="C44" s="391">
        <f t="shared" ref="C44:L44" si="14">C10+C27</f>
        <v>-1949</v>
      </c>
      <c r="D44" s="391">
        <f t="shared" si="14"/>
        <v>-2790</v>
      </c>
      <c r="E44" s="391">
        <f t="shared" si="14"/>
        <v>-4185</v>
      </c>
      <c r="F44" s="391">
        <f t="shared" si="14"/>
        <v>-2924</v>
      </c>
      <c r="G44" s="391">
        <f t="shared" si="14"/>
        <v>-4446</v>
      </c>
      <c r="H44" s="391">
        <f t="shared" si="14"/>
        <v>-4272</v>
      </c>
      <c r="I44" s="391">
        <f t="shared" si="14"/>
        <v>-4214</v>
      </c>
      <c r="J44" s="391">
        <f t="shared" si="14"/>
        <v>-85</v>
      </c>
      <c r="K44" s="391">
        <f t="shared" si="14"/>
        <v>-1113</v>
      </c>
      <c r="L44" s="391">
        <f t="shared" si="14"/>
        <v>-766</v>
      </c>
      <c r="M44" s="391">
        <v>-740</v>
      </c>
      <c r="N44" s="391">
        <v>12893</v>
      </c>
      <c r="O44" s="391">
        <v>1938</v>
      </c>
      <c r="P44" s="391">
        <f t="shared" ref="P44:Q44" si="15">P10+P27</f>
        <v>959</v>
      </c>
      <c r="Q44" s="391">
        <f t="shared" si="15"/>
        <v>950</v>
      </c>
      <c r="R44" s="29"/>
      <c r="S44" s="29"/>
      <c r="T44" s="29"/>
      <c r="U44" s="29"/>
      <c r="V44" s="29"/>
      <c r="W44" s="29"/>
      <c r="X44" s="29"/>
      <c r="Y44" s="29"/>
    </row>
    <row r="45" spans="1:25" ht="15" customHeight="1">
      <c r="A45" s="390" t="s">
        <v>211</v>
      </c>
      <c r="B45" s="390" t="s">
        <v>212</v>
      </c>
      <c r="C45" s="391">
        <f t="shared" ref="C45:L45" si="16">C11+C25</f>
        <v>67435</v>
      </c>
      <c r="D45" s="391">
        <f t="shared" si="16"/>
        <v>73280</v>
      </c>
      <c r="E45" s="391">
        <f t="shared" si="16"/>
        <v>78310</v>
      </c>
      <c r="F45" s="391">
        <f t="shared" si="16"/>
        <v>80842</v>
      </c>
      <c r="G45" s="391">
        <f t="shared" si="16"/>
        <v>79372</v>
      </c>
      <c r="H45" s="391">
        <f t="shared" si="16"/>
        <v>78187</v>
      </c>
      <c r="I45" s="391">
        <f t="shared" si="16"/>
        <v>75502</v>
      </c>
      <c r="J45" s="391">
        <f t="shared" si="16"/>
        <v>70348</v>
      </c>
      <c r="K45" s="391">
        <f t="shared" si="16"/>
        <v>65646</v>
      </c>
      <c r="L45" s="391">
        <f t="shared" si="16"/>
        <v>68395</v>
      </c>
      <c r="M45" s="391">
        <v>70815</v>
      </c>
      <c r="N45" s="391">
        <v>68795</v>
      </c>
      <c r="O45" s="391">
        <v>64262</v>
      </c>
      <c r="P45" s="391">
        <f t="shared" ref="P45:Q46" si="17">P11+P25</f>
        <v>47691</v>
      </c>
      <c r="Q45" s="391">
        <f t="shared" si="17"/>
        <v>55265</v>
      </c>
      <c r="R45" s="29"/>
      <c r="S45" s="29"/>
      <c r="T45" s="29"/>
      <c r="U45" s="29"/>
      <c r="V45" s="29"/>
      <c r="W45" s="29"/>
      <c r="X45" s="29"/>
      <c r="Y45" s="29"/>
    </row>
    <row r="46" spans="1:25" ht="15" customHeight="1">
      <c r="A46" s="390" t="s">
        <v>57</v>
      </c>
      <c r="B46" s="390" t="s">
        <v>213</v>
      </c>
      <c r="C46" s="391">
        <f t="shared" ref="C46:L46" si="18">C12+C26</f>
        <v>49341</v>
      </c>
      <c r="D46" s="391">
        <f t="shared" si="18"/>
        <v>54167</v>
      </c>
      <c r="E46" s="391">
        <f t="shared" si="18"/>
        <v>48278</v>
      </c>
      <c r="F46" s="391">
        <f t="shared" si="18"/>
        <v>47015</v>
      </c>
      <c r="G46" s="391">
        <f t="shared" si="18"/>
        <v>47935</v>
      </c>
      <c r="H46" s="391">
        <f t="shared" si="18"/>
        <v>52239</v>
      </c>
      <c r="I46" s="391">
        <f t="shared" si="18"/>
        <v>45161</v>
      </c>
      <c r="J46" s="391">
        <f t="shared" si="18"/>
        <v>37108</v>
      </c>
      <c r="K46" s="391">
        <f t="shared" si="18"/>
        <v>43573</v>
      </c>
      <c r="L46" s="391">
        <f t="shared" si="18"/>
        <v>52640</v>
      </c>
      <c r="M46" s="391">
        <v>53227</v>
      </c>
      <c r="N46" s="391">
        <v>53354</v>
      </c>
      <c r="O46" s="391">
        <v>55970</v>
      </c>
      <c r="P46" s="391">
        <f t="shared" si="17"/>
        <v>43861</v>
      </c>
      <c r="Q46" s="391">
        <f t="shared" si="17"/>
        <v>52795</v>
      </c>
      <c r="R46" s="29"/>
      <c r="S46" s="29"/>
      <c r="T46" s="29"/>
      <c r="U46" s="29"/>
      <c r="V46" s="29"/>
      <c r="W46" s="29"/>
      <c r="X46" s="29"/>
      <c r="Y46" s="29"/>
    </row>
    <row r="47" spans="1:25" ht="15" customHeight="1">
      <c r="A47" s="390" t="s">
        <v>114</v>
      </c>
      <c r="B47" s="390" t="s">
        <v>113</v>
      </c>
      <c r="C47" s="391">
        <f t="shared" ref="C47:L47" si="19">C13+C24</f>
        <v>18897</v>
      </c>
      <c r="D47" s="391">
        <f t="shared" si="19"/>
        <v>19931</v>
      </c>
      <c r="E47" s="391">
        <f t="shared" si="19"/>
        <v>23728</v>
      </c>
      <c r="F47" s="391">
        <f t="shared" si="19"/>
        <v>14398</v>
      </c>
      <c r="G47" s="391">
        <f t="shared" si="19"/>
        <v>15401</v>
      </c>
      <c r="H47" s="391">
        <f t="shared" si="19"/>
        <v>16684</v>
      </c>
      <c r="I47" s="391">
        <f t="shared" si="19"/>
        <v>12530</v>
      </c>
      <c r="J47" s="391">
        <f t="shared" si="19"/>
        <v>14241</v>
      </c>
      <c r="K47" s="391">
        <f t="shared" si="19"/>
        <v>16213</v>
      </c>
      <c r="L47" s="391">
        <f t="shared" si="19"/>
        <v>11222</v>
      </c>
      <c r="M47" s="391">
        <v>13933</v>
      </c>
      <c r="N47" s="391">
        <v>9964</v>
      </c>
      <c r="O47" s="391">
        <v>24660</v>
      </c>
      <c r="P47" s="391">
        <f t="shared" ref="P47:Q47" si="20">P13+P24</f>
        <v>28227</v>
      </c>
      <c r="Q47" s="391">
        <f t="shared" si="20"/>
        <v>23159</v>
      </c>
      <c r="R47" s="29"/>
      <c r="S47" s="29"/>
      <c r="T47" s="29"/>
      <c r="U47" s="29"/>
      <c r="V47" s="29"/>
      <c r="W47" s="29"/>
      <c r="X47" s="29"/>
      <c r="Y47" s="29"/>
    </row>
    <row r="48" spans="1:25" ht="15" customHeight="1">
      <c r="A48" s="390" t="s">
        <v>214</v>
      </c>
      <c r="B48" s="390" t="s">
        <v>215</v>
      </c>
      <c r="C48" s="391">
        <f t="shared" ref="C48:L48" si="21">C14+C28</f>
        <v>-1993</v>
      </c>
      <c r="D48" s="391">
        <f t="shared" si="21"/>
        <v>-2891</v>
      </c>
      <c r="E48" s="391">
        <f t="shared" si="21"/>
        <v>-3049</v>
      </c>
      <c r="F48" s="391">
        <f t="shared" si="21"/>
        <v>-3023</v>
      </c>
      <c r="G48" s="391">
        <f t="shared" si="21"/>
        <v>-2672</v>
      </c>
      <c r="H48" s="391">
        <f t="shared" si="21"/>
        <v>-1804</v>
      </c>
      <c r="I48" s="391">
        <f t="shared" si="21"/>
        <v>-1873</v>
      </c>
      <c r="J48" s="391">
        <f t="shared" si="21"/>
        <v>-1056</v>
      </c>
      <c r="K48" s="391">
        <f t="shared" si="21"/>
        <v>-1287</v>
      </c>
      <c r="L48" s="391">
        <f t="shared" si="21"/>
        <v>-1577</v>
      </c>
      <c r="M48" s="391">
        <v>-848</v>
      </c>
      <c r="N48" s="391">
        <v>-2084</v>
      </c>
      <c r="O48" s="391">
        <v>-832</v>
      </c>
      <c r="P48" s="391">
        <f t="shared" ref="P48:Q48" si="22">P14+P28</f>
        <v>-1450</v>
      </c>
      <c r="Q48" s="391">
        <f t="shared" si="22"/>
        <v>-1009</v>
      </c>
      <c r="R48" s="29"/>
      <c r="S48" s="29"/>
      <c r="T48" s="29"/>
      <c r="U48" s="29"/>
      <c r="V48" s="29"/>
      <c r="W48" s="29"/>
      <c r="X48" s="29"/>
      <c r="Y48" s="29"/>
    </row>
    <row r="49" spans="1:25" ht="15" customHeight="1">
      <c r="A49" s="390" t="s">
        <v>216</v>
      </c>
      <c r="B49" s="390" t="s">
        <v>217</v>
      </c>
      <c r="C49" s="391">
        <f t="shared" ref="C49:L49" si="23">C15</f>
        <v>997</v>
      </c>
      <c r="D49" s="391">
        <f t="shared" si="23"/>
        <v>7807</v>
      </c>
      <c r="E49" s="391">
        <f t="shared" si="23"/>
        <v>3951</v>
      </c>
      <c r="F49" s="391">
        <f t="shared" si="23"/>
        <v>1747</v>
      </c>
      <c r="G49" s="391">
        <f t="shared" si="23"/>
        <v>3058</v>
      </c>
      <c r="H49" s="391">
        <f t="shared" si="23"/>
        <v>2827</v>
      </c>
      <c r="I49" s="391">
        <f t="shared" si="23"/>
        <v>1438</v>
      </c>
      <c r="J49" s="391">
        <f t="shared" si="23"/>
        <v>1200</v>
      </c>
      <c r="K49" s="391">
        <f t="shared" si="23"/>
        <v>1034</v>
      </c>
      <c r="L49" s="391">
        <f t="shared" si="23"/>
        <v>964</v>
      </c>
      <c r="M49" s="391">
        <v>2505</v>
      </c>
      <c r="N49" s="391">
        <v>2062</v>
      </c>
      <c r="O49" s="391">
        <v>7222</v>
      </c>
      <c r="P49" s="391">
        <f t="shared" ref="P49:Q49" si="24">P15</f>
        <v>958</v>
      </c>
      <c r="Q49" s="391">
        <f t="shared" si="24"/>
        <v>638</v>
      </c>
      <c r="R49" s="29"/>
      <c r="S49" s="29"/>
      <c r="T49" s="29"/>
      <c r="U49" s="29"/>
      <c r="V49" s="29"/>
      <c r="W49" s="29"/>
      <c r="X49" s="29"/>
      <c r="Y49" s="29"/>
    </row>
    <row r="50" spans="1:25" ht="15" customHeight="1">
      <c r="A50" s="390" t="s">
        <v>218</v>
      </c>
      <c r="B50" s="390" t="s">
        <v>227</v>
      </c>
      <c r="C50" s="391">
        <f t="shared" ref="C50:H50" si="25">C30+C29</f>
        <v>-9543</v>
      </c>
      <c r="D50" s="391">
        <f t="shared" si="25"/>
        <v>-10945</v>
      </c>
      <c r="E50" s="391">
        <f t="shared" si="25"/>
        <v>-8726</v>
      </c>
      <c r="F50" s="391">
        <f t="shared" si="25"/>
        <v>-12773</v>
      </c>
      <c r="G50" s="391">
        <f t="shared" si="25"/>
        <v>-9615</v>
      </c>
      <c r="H50" s="391">
        <f t="shared" si="25"/>
        <v>-9474</v>
      </c>
      <c r="I50" s="391">
        <f>I30+I29+1</f>
        <v>-9646</v>
      </c>
      <c r="J50" s="391">
        <f>J30+J29+1</f>
        <v>-14818</v>
      </c>
      <c r="K50" s="391">
        <f>K30+K29</f>
        <v>-14234</v>
      </c>
      <c r="L50" s="391">
        <f>L30+L29</f>
        <v>-14672</v>
      </c>
      <c r="M50" s="391">
        <v>-17753</v>
      </c>
      <c r="N50" s="391">
        <v>-19149</v>
      </c>
      <c r="O50" s="391">
        <v>-12650</v>
      </c>
      <c r="P50" s="391">
        <f>P30+P29</f>
        <v>-10716</v>
      </c>
      <c r="Q50" s="391">
        <f>Q30+Q29</f>
        <v>-12187</v>
      </c>
      <c r="R50" s="29"/>
      <c r="S50" s="29"/>
      <c r="T50" s="29"/>
      <c r="U50" s="29"/>
      <c r="V50" s="29"/>
      <c r="W50" s="29"/>
      <c r="X50" s="29"/>
      <c r="Y50" s="29"/>
    </row>
    <row r="51" spans="1:25" ht="15" customHeight="1">
      <c r="A51" s="393" t="s">
        <v>58</v>
      </c>
      <c r="B51" s="393" t="s">
        <v>43</v>
      </c>
      <c r="C51" s="394">
        <f t="shared" ref="C51:H51" si="26">SUM(C37:C41,C43:C50)</f>
        <v>475194</v>
      </c>
      <c r="D51" s="394">
        <f t="shared" si="26"/>
        <v>495642</v>
      </c>
      <c r="E51" s="394">
        <f t="shared" si="26"/>
        <v>526905</v>
      </c>
      <c r="F51" s="394">
        <f t="shared" si="26"/>
        <v>515383</v>
      </c>
      <c r="G51" s="394">
        <f t="shared" si="26"/>
        <v>515112</v>
      </c>
      <c r="H51" s="394">
        <f t="shared" si="26"/>
        <v>529760</v>
      </c>
      <c r="I51" s="394">
        <f>SUM(I37:I41,I43:I50)-1</f>
        <v>515650</v>
      </c>
      <c r="J51" s="394">
        <f t="shared" ref="J51:O51" si="27">SUM(J37:J41,J43:J50)</f>
        <v>497278</v>
      </c>
      <c r="K51" s="394">
        <f t="shared" si="27"/>
        <v>520062</v>
      </c>
      <c r="L51" s="394">
        <f t="shared" si="27"/>
        <v>522357</v>
      </c>
      <c r="M51" s="394">
        <f t="shared" si="27"/>
        <v>544047</v>
      </c>
      <c r="N51" s="394">
        <f t="shared" si="27"/>
        <v>541705</v>
      </c>
      <c r="O51" s="394">
        <f t="shared" si="27"/>
        <v>538244</v>
      </c>
      <c r="P51" s="394">
        <f t="shared" ref="P51:Q51" si="28">SUM(P37:P41,P43:P50)</f>
        <v>491831</v>
      </c>
      <c r="Q51" s="394">
        <f t="shared" si="28"/>
        <v>552731</v>
      </c>
      <c r="R51" s="29"/>
      <c r="S51" s="29"/>
      <c r="T51" s="29"/>
      <c r="U51" s="29"/>
      <c r="V51" s="29"/>
      <c r="W51" s="29"/>
      <c r="X51" s="29"/>
      <c r="Y51" s="29"/>
    </row>
    <row r="52" spans="1:25" s="296" customFormat="1" ht="15" customHeight="1">
      <c r="C52" s="298">
        <f>C51-C33</f>
        <v>0</v>
      </c>
      <c r="K52" s="333"/>
    </row>
    <row r="53" spans="1:25" s="296" customFormat="1" ht="15" customHeight="1" thickBot="1">
      <c r="C53" s="397"/>
      <c r="D53" s="389"/>
      <c r="K53" s="333"/>
    </row>
    <row r="54" spans="1:25" s="296" customFormat="1" ht="15" customHeight="1" thickBot="1">
      <c r="A54" s="376" t="s">
        <v>55</v>
      </c>
      <c r="B54" s="376" t="s">
        <v>4</v>
      </c>
      <c r="C54" s="398" t="s">
        <v>189</v>
      </c>
      <c r="D54" s="389" t="s">
        <v>190</v>
      </c>
      <c r="E54" s="398" t="str">
        <f t="shared" ref="E54:K54" si="29">E36</f>
        <v>III Q 2017</v>
      </c>
      <c r="F54" s="398" t="str">
        <f t="shared" si="29"/>
        <v>IV Q 2017</v>
      </c>
      <c r="G54" s="398" t="str">
        <f t="shared" si="29"/>
        <v>I Q 2018</v>
      </c>
      <c r="H54" s="398" t="str">
        <f t="shared" si="29"/>
        <v>II Q 2018</v>
      </c>
      <c r="I54" s="398" t="str">
        <f t="shared" si="29"/>
        <v>III Q 2018</v>
      </c>
      <c r="J54" s="398" t="str">
        <f t="shared" si="29"/>
        <v>IV Q 2018</v>
      </c>
      <c r="K54" s="398" t="str">
        <f t="shared" si="29"/>
        <v>I Q 2019</v>
      </c>
      <c r="L54" s="398" t="s">
        <v>198</v>
      </c>
      <c r="M54" s="398" t="s">
        <v>623</v>
      </c>
      <c r="N54" s="398" t="str">
        <f>N36</f>
        <v>IV Q 2019</v>
      </c>
      <c r="O54" s="398" t="str">
        <f>O36</f>
        <v>I Q 2020</v>
      </c>
      <c r="P54" s="398" t="str">
        <f>P36</f>
        <v>II Q 2020</v>
      </c>
      <c r="Q54" s="398" t="str">
        <f>Q36</f>
        <v>III Q 2020</v>
      </c>
    </row>
    <row r="55" spans="1:25" s="296" customFormat="1" ht="14.25">
      <c r="A55" s="399" t="s">
        <v>617</v>
      </c>
      <c r="B55" s="399" t="s">
        <v>607</v>
      </c>
      <c r="C55" s="391"/>
      <c r="D55" s="391"/>
      <c r="E55" s="391"/>
      <c r="F55" s="391"/>
      <c r="G55" s="391"/>
      <c r="H55" s="391"/>
      <c r="I55" s="391"/>
      <c r="J55" s="391"/>
      <c r="K55" s="391"/>
      <c r="L55" s="391"/>
      <c r="M55" s="391"/>
      <c r="N55" s="391"/>
      <c r="O55" s="391"/>
      <c r="P55" s="391"/>
      <c r="Q55" s="391"/>
    </row>
    <row r="56" spans="1:25" s="296" customFormat="1" ht="15" customHeight="1">
      <c r="A56" s="400" t="s">
        <v>606</v>
      </c>
      <c r="B56" s="390" t="s">
        <v>605</v>
      </c>
      <c r="C56" s="401">
        <f t="shared" ref="C56:K56" si="30">C45/1000</f>
        <v>67</v>
      </c>
      <c r="D56" s="401">
        <f t="shared" si="30"/>
        <v>73</v>
      </c>
      <c r="E56" s="401">
        <f t="shared" si="30"/>
        <v>78</v>
      </c>
      <c r="F56" s="401">
        <f t="shared" si="30"/>
        <v>81</v>
      </c>
      <c r="G56" s="401">
        <f t="shared" si="30"/>
        <v>79</v>
      </c>
      <c r="H56" s="401">
        <f t="shared" si="30"/>
        <v>78</v>
      </c>
      <c r="I56" s="401">
        <f t="shared" si="30"/>
        <v>76</v>
      </c>
      <c r="J56" s="401">
        <f t="shared" si="30"/>
        <v>70</v>
      </c>
      <c r="K56" s="401">
        <f t="shared" si="30"/>
        <v>66</v>
      </c>
      <c r="L56" s="401">
        <f>L45/1000+1</f>
        <v>69</v>
      </c>
      <c r="M56" s="401">
        <f>M45/1000</f>
        <v>71</v>
      </c>
      <c r="N56" s="401">
        <f>N45/1000</f>
        <v>69</v>
      </c>
      <c r="O56" s="401">
        <f>O45/1000</f>
        <v>64</v>
      </c>
      <c r="P56" s="401">
        <f>P45/1000</f>
        <v>48</v>
      </c>
      <c r="Q56" s="401">
        <f>Q45/1000</f>
        <v>55</v>
      </c>
    </row>
    <row r="57" spans="1:25" s="296" customFormat="1" ht="15" customHeight="1">
      <c r="A57" s="390" t="s">
        <v>56</v>
      </c>
      <c r="B57" s="390" t="s">
        <v>44</v>
      </c>
      <c r="C57" s="391">
        <f>C44/1000</f>
        <v>-2</v>
      </c>
      <c r="D57" s="391">
        <f t="shared" ref="D57:L57" si="31">D44/1000</f>
        <v>-3</v>
      </c>
      <c r="E57" s="391">
        <f t="shared" si="31"/>
        <v>-4</v>
      </c>
      <c r="F57" s="391">
        <f t="shared" si="31"/>
        <v>-3</v>
      </c>
      <c r="G57" s="391">
        <f t="shared" si="31"/>
        <v>-4</v>
      </c>
      <c r="H57" s="391">
        <f t="shared" si="31"/>
        <v>-4</v>
      </c>
      <c r="I57" s="391">
        <f t="shared" si="31"/>
        <v>-4</v>
      </c>
      <c r="J57" s="391">
        <f t="shared" si="31"/>
        <v>0</v>
      </c>
      <c r="K57" s="391">
        <f t="shared" si="31"/>
        <v>-1</v>
      </c>
      <c r="L57" s="391">
        <f t="shared" si="31"/>
        <v>-1</v>
      </c>
      <c r="M57" s="391">
        <f>M44/1000</f>
        <v>-1</v>
      </c>
      <c r="N57" s="391">
        <f>N44/1000</f>
        <v>13</v>
      </c>
      <c r="O57" s="391">
        <f>O44/1000</f>
        <v>2</v>
      </c>
      <c r="P57" s="391">
        <f>P44/1000</f>
        <v>1</v>
      </c>
      <c r="Q57" s="391">
        <f>Q44/1000</f>
        <v>1</v>
      </c>
    </row>
    <row r="58" spans="1:25" s="296" customFormat="1" ht="15" customHeight="1">
      <c r="A58" s="390" t="s">
        <v>114</v>
      </c>
      <c r="B58" s="390" t="s">
        <v>113</v>
      </c>
      <c r="C58" s="391">
        <f t="shared" ref="C58:L58" si="32">C47/1000</f>
        <v>19</v>
      </c>
      <c r="D58" s="391">
        <f t="shared" si="32"/>
        <v>20</v>
      </c>
      <c r="E58" s="391">
        <f t="shared" si="32"/>
        <v>24</v>
      </c>
      <c r="F58" s="391">
        <f t="shared" si="32"/>
        <v>14</v>
      </c>
      <c r="G58" s="391">
        <f t="shared" si="32"/>
        <v>15</v>
      </c>
      <c r="H58" s="391">
        <f t="shared" si="32"/>
        <v>17</v>
      </c>
      <c r="I58" s="391">
        <f t="shared" si="32"/>
        <v>13</v>
      </c>
      <c r="J58" s="391">
        <f t="shared" si="32"/>
        <v>14</v>
      </c>
      <c r="K58" s="391">
        <f t="shared" si="32"/>
        <v>16</v>
      </c>
      <c r="L58" s="391">
        <f t="shared" si="32"/>
        <v>11</v>
      </c>
      <c r="M58" s="391">
        <f>M47/1000</f>
        <v>14</v>
      </c>
      <c r="N58" s="391">
        <f>N47/1000</f>
        <v>10</v>
      </c>
      <c r="O58" s="391">
        <f>O47/1000</f>
        <v>25</v>
      </c>
      <c r="P58" s="391">
        <f>P47/1000</f>
        <v>28</v>
      </c>
      <c r="Q58" s="391">
        <f>Q47/1000</f>
        <v>23</v>
      </c>
    </row>
    <row r="59" spans="1:25" s="296" customFormat="1" ht="15" customHeight="1">
      <c r="A59" s="390" t="s">
        <v>201</v>
      </c>
      <c r="B59" s="390" t="s">
        <v>202</v>
      </c>
      <c r="C59" s="391">
        <f>C39/1000</f>
        <v>12</v>
      </c>
      <c r="D59" s="391">
        <f t="shared" ref="D59:L59" si="33">D39/1000</f>
        <v>11</v>
      </c>
      <c r="E59" s="391">
        <f t="shared" si="33"/>
        <v>16</v>
      </c>
      <c r="F59" s="391">
        <f t="shared" si="33"/>
        <v>18</v>
      </c>
      <c r="G59" s="391">
        <f t="shared" si="33"/>
        <v>14</v>
      </c>
      <c r="H59" s="391">
        <f t="shared" si="33"/>
        <v>13</v>
      </c>
      <c r="I59" s="391">
        <f t="shared" si="33"/>
        <v>13</v>
      </c>
      <c r="J59" s="391">
        <f t="shared" si="33"/>
        <v>22</v>
      </c>
      <c r="K59" s="391">
        <f t="shared" si="33"/>
        <v>14</v>
      </c>
      <c r="L59" s="391">
        <f t="shared" si="33"/>
        <v>13</v>
      </c>
      <c r="M59" s="391">
        <f>M39/1000</f>
        <v>16</v>
      </c>
      <c r="N59" s="391">
        <f>N39/1000</f>
        <v>2</v>
      </c>
      <c r="O59" s="391">
        <f>O39/1000</f>
        <v>11</v>
      </c>
      <c r="P59" s="391">
        <f>P39/1000</f>
        <v>6</v>
      </c>
      <c r="Q59" s="391">
        <f>Q39/1000</f>
        <v>8</v>
      </c>
    </row>
    <row r="60" spans="1:25" s="296" customFormat="1" ht="15" customHeight="1">
      <c r="A60" s="390" t="s">
        <v>613</v>
      </c>
      <c r="B60" s="390" t="s">
        <v>608</v>
      </c>
      <c r="C60" s="391">
        <f t="shared" ref="C60:L60" si="34">C37/1000</f>
        <v>83</v>
      </c>
      <c r="D60" s="391">
        <f t="shared" si="34"/>
        <v>85</v>
      </c>
      <c r="E60" s="391">
        <f t="shared" si="34"/>
        <v>84</v>
      </c>
      <c r="F60" s="391">
        <f t="shared" si="34"/>
        <v>85</v>
      </c>
      <c r="G60" s="391">
        <f t="shared" si="34"/>
        <v>81</v>
      </c>
      <c r="H60" s="391">
        <f t="shared" si="34"/>
        <v>80</v>
      </c>
      <c r="I60" s="391">
        <f t="shared" si="34"/>
        <v>76</v>
      </c>
      <c r="J60" s="391">
        <f t="shared" si="34"/>
        <v>80</v>
      </c>
      <c r="K60" s="391">
        <f t="shared" si="34"/>
        <v>81</v>
      </c>
      <c r="L60" s="391">
        <f t="shared" si="34"/>
        <v>81</v>
      </c>
      <c r="M60" s="391">
        <f>M37/1000</f>
        <v>82</v>
      </c>
      <c r="N60" s="391">
        <f>N37/1000</f>
        <v>81</v>
      </c>
      <c r="O60" s="391">
        <f>O37/1000</f>
        <v>79</v>
      </c>
      <c r="P60" s="391">
        <f>P37/1000</f>
        <v>73</v>
      </c>
      <c r="Q60" s="391">
        <f>Q37/1000</f>
        <v>77</v>
      </c>
    </row>
    <row r="61" spans="1:25" s="296" customFormat="1" ht="15" customHeight="1">
      <c r="A61" s="390" t="s">
        <v>614</v>
      </c>
      <c r="B61" s="390" t="s">
        <v>609</v>
      </c>
      <c r="C61" s="391">
        <f t="shared" ref="C61:L61" si="35">C40/1000</f>
        <v>78</v>
      </c>
      <c r="D61" s="391">
        <f t="shared" si="35"/>
        <v>85</v>
      </c>
      <c r="E61" s="391">
        <f t="shared" si="35"/>
        <v>92</v>
      </c>
      <c r="F61" s="391">
        <f t="shared" si="35"/>
        <v>91</v>
      </c>
      <c r="G61" s="391">
        <f t="shared" si="35"/>
        <v>89</v>
      </c>
      <c r="H61" s="391">
        <f t="shared" si="35"/>
        <v>101</v>
      </c>
      <c r="I61" s="391">
        <f t="shared" si="35"/>
        <v>97</v>
      </c>
      <c r="J61" s="391">
        <f t="shared" si="35"/>
        <v>110</v>
      </c>
      <c r="K61" s="391">
        <f t="shared" si="35"/>
        <v>107</v>
      </c>
      <c r="L61" s="391">
        <f t="shared" si="35"/>
        <v>114</v>
      </c>
      <c r="M61" s="391">
        <f t="shared" ref="M61:O62" si="36">M40/1000</f>
        <v>112</v>
      </c>
      <c r="N61" s="391">
        <f t="shared" si="36"/>
        <v>110</v>
      </c>
      <c r="O61" s="391">
        <f t="shared" si="36"/>
        <v>122</v>
      </c>
      <c r="P61" s="391">
        <f t="shared" ref="P61:Q61" si="37">P40/1000</f>
        <v>104</v>
      </c>
      <c r="Q61" s="391">
        <f t="shared" si="37"/>
        <v>116</v>
      </c>
    </row>
    <row r="62" spans="1:25" s="296" customFormat="1" ht="15" customHeight="1">
      <c r="A62" s="390" t="s">
        <v>615</v>
      </c>
      <c r="B62" s="390" t="s">
        <v>610</v>
      </c>
      <c r="C62" s="391">
        <f t="shared" ref="C62:L62" si="38">C41/1000</f>
        <v>88</v>
      </c>
      <c r="D62" s="391">
        <f t="shared" si="38"/>
        <v>92</v>
      </c>
      <c r="E62" s="391">
        <f t="shared" si="38"/>
        <v>93</v>
      </c>
      <c r="F62" s="391">
        <f t="shared" si="38"/>
        <v>99</v>
      </c>
      <c r="G62" s="391">
        <f t="shared" si="38"/>
        <v>94</v>
      </c>
      <c r="H62" s="391">
        <f t="shared" si="38"/>
        <v>96</v>
      </c>
      <c r="I62" s="391">
        <f t="shared" si="38"/>
        <v>97</v>
      </c>
      <c r="J62" s="391">
        <f t="shared" si="38"/>
        <v>99</v>
      </c>
      <c r="K62" s="391">
        <f t="shared" si="38"/>
        <v>94</v>
      </c>
      <c r="L62" s="391">
        <f t="shared" si="38"/>
        <v>98</v>
      </c>
      <c r="M62" s="391">
        <f t="shared" si="36"/>
        <v>101</v>
      </c>
      <c r="N62" s="391">
        <f t="shared" si="36"/>
        <v>95</v>
      </c>
      <c r="O62" s="391">
        <f t="shared" si="36"/>
        <v>89</v>
      </c>
      <c r="P62" s="391">
        <f t="shared" ref="P62:Q62" si="39">P41/1000</f>
        <v>85</v>
      </c>
      <c r="Q62" s="391">
        <f t="shared" si="39"/>
        <v>100</v>
      </c>
    </row>
    <row r="63" spans="1:25" s="296" customFormat="1" ht="15" customHeight="1">
      <c r="A63" s="390" t="s">
        <v>616</v>
      </c>
      <c r="B63" s="390" t="s">
        <v>611</v>
      </c>
      <c r="C63" s="391">
        <f t="shared" ref="C63:L63" si="40">(C38+C48)/1000</f>
        <v>57</v>
      </c>
      <c r="D63" s="391">
        <f t="shared" si="40"/>
        <v>48</v>
      </c>
      <c r="E63" s="391">
        <f t="shared" si="40"/>
        <v>64</v>
      </c>
      <c r="F63" s="391">
        <f t="shared" si="40"/>
        <v>58</v>
      </c>
      <c r="G63" s="391">
        <f t="shared" si="40"/>
        <v>70</v>
      </c>
      <c r="H63" s="391">
        <f t="shared" si="40"/>
        <v>72</v>
      </c>
      <c r="I63" s="391">
        <f t="shared" si="40"/>
        <v>80</v>
      </c>
      <c r="J63" s="391">
        <f t="shared" si="40"/>
        <v>42</v>
      </c>
      <c r="K63" s="391">
        <f t="shared" si="40"/>
        <v>77</v>
      </c>
      <c r="L63" s="391">
        <f t="shared" si="40"/>
        <v>63</v>
      </c>
      <c r="M63" s="391">
        <f>(M38+M48)/1000-1</f>
        <v>75</v>
      </c>
      <c r="N63" s="391">
        <f>(N38+N48)/1000</f>
        <v>87</v>
      </c>
      <c r="O63" s="391">
        <f>(O38+O48)/1000</f>
        <v>64</v>
      </c>
      <c r="P63" s="391">
        <f>(P38+P48)/1000</f>
        <v>80</v>
      </c>
      <c r="Q63" s="391">
        <f>(Q38+Q48)/1000</f>
        <v>100</v>
      </c>
    </row>
    <row r="64" spans="1:25" s="296" customFormat="1" ht="15" customHeight="1">
      <c r="A64" s="390" t="s">
        <v>57</v>
      </c>
      <c r="B64" s="390" t="s">
        <v>612</v>
      </c>
      <c r="C64" s="391">
        <f t="shared" ref="C64:L64" si="41">C46/1000</f>
        <v>49</v>
      </c>
      <c r="D64" s="391">
        <f t="shared" si="41"/>
        <v>54</v>
      </c>
      <c r="E64" s="391">
        <f t="shared" si="41"/>
        <v>48</v>
      </c>
      <c r="F64" s="391">
        <f t="shared" si="41"/>
        <v>47</v>
      </c>
      <c r="G64" s="391">
        <f t="shared" si="41"/>
        <v>48</v>
      </c>
      <c r="H64" s="391">
        <f t="shared" si="41"/>
        <v>52</v>
      </c>
      <c r="I64" s="391">
        <f t="shared" si="41"/>
        <v>45</v>
      </c>
      <c r="J64" s="391">
        <f t="shared" si="41"/>
        <v>37</v>
      </c>
      <c r="K64" s="391">
        <f t="shared" si="41"/>
        <v>44</v>
      </c>
      <c r="L64" s="391">
        <f t="shared" si="41"/>
        <v>53</v>
      </c>
      <c r="M64" s="391">
        <f>M46/1000</f>
        <v>53</v>
      </c>
      <c r="N64" s="391">
        <f>N46/1000</f>
        <v>53</v>
      </c>
      <c r="O64" s="391">
        <f>O46/1000</f>
        <v>56</v>
      </c>
      <c r="P64" s="391">
        <f>P46/1000</f>
        <v>44</v>
      </c>
      <c r="Q64" s="391">
        <f>Q46/1000</f>
        <v>53</v>
      </c>
    </row>
    <row r="65" spans="1:17" s="296" customFormat="1" ht="15" customHeight="1">
      <c r="A65" s="390" t="s">
        <v>218</v>
      </c>
      <c r="B65" s="390" t="s">
        <v>45</v>
      </c>
      <c r="C65" s="391">
        <f>(C50+C43+C49)/1000+1</f>
        <v>24</v>
      </c>
      <c r="D65" s="391">
        <f>(D50+D43+D49)/1000+1</f>
        <v>30</v>
      </c>
      <c r="E65" s="391">
        <f>(E50+E43+E49)/1000-1</f>
        <v>32</v>
      </c>
      <c r="F65" s="391">
        <f>(F50+F43+F49)/1000+1</f>
        <v>25</v>
      </c>
      <c r="G65" s="391">
        <f>(G50+G43+G49)/1000+1</f>
        <v>29</v>
      </c>
      <c r="H65" s="391">
        <f>(H50+H43+H49)/1000-1</f>
        <v>24</v>
      </c>
      <c r="I65" s="391">
        <f>(I50+I43+I49)/1000-2</f>
        <v>23</v>
      </c>
      <c r="J65" s="391">
        <f t="shared" ref="J65:O65" si="42">(J50+J43+J49)/1000</f>
        <v>23</v>
      </c>
      <c r="K65" s="391">
        <f t="shared" si="42"/>
        <v>22</v>
      </c>
      <c r="L65" s="391">
        <f t="shared" si="42"/>
        <v>21</v>
      </c>
      <c r="M65" s="391">
        <f t="shared" si="42"/>
        <v>21</v>
      </c>
      <c r="N65" s="391">
        <f t="shared" si="42"/>
        <v>22</v>
      </c>
      <c r="O65" s="391">
        <f t="shared" si="42"/>
        <v>28</v>
      </c>
      <c r="P65" s="391">
        <f t="shared" ref="P65:Q65" si="43">(P50+P43+P49)/1000</f>
        <v>23</v>
      </c>
      <c r="Q65" s="391">
        <f t="shared" si="43"/>
        <v>19</v>
      </c>
    </row>
    <row r="66" spans="1:17" ht="15" customHeight="1">
      <c r="A66" s="393" t="s">
        <v>58</v>
      </c>
      <c r="B66" s="393" t="s">
        <v>43</v>
      </c>
      <c r="C66" s="394">
        <f>SUM(C56:C65)</f>
        <v>475</v>
      </c>
      <c r="D66" s="394">
        <f t="shared" ref="D66:M66" si="44">SUM(D56:D65)</f>
        <v>495</v>
      </c>
      <c r="E66" s="394">
        <f t="shared" si="44"/>
        <v>527</v>
      </c>
      <c r="F66" s="394">
        <f t="shared" si="44"/>
        <v>515</v>
      </c>
      <c r="G66" s="394">
        <f t="shared" si="44"/>
        <v>515</v>
      </c>
      <c r="H66" s="394">
        <f t="shared" si="44"/>
        <v>529</v>
      </c>
      <c r="I66" s="394">
        <f t="shared" si="44"/>
        <v>516</v>
      </c>
      <c r="J66" s="394">
        <f t="shared" si="44"/>
        <v>497</v>
      </c>
      <c r="K66" s="394">
        <f t="shared" si="44"/>
        <v>520</v>
      </c>
      <c r="L66" s="394">
        <f t="shared" si="44"/>
        <v>522</v>
      </c>
      <c r="M66" s="394">
        <f t="shared" si="44"/>
        <v>544</v>
      </c>
      <c r="N66" s="394">
        <f>SUM(N56:N65)</f>
        <v>542</v>
      </c>
      <c r="O66" s="394">
        <f>SUM(O56:O65)</f>
        <v>540</v>
      </c>
      <c r="P66" s="394">
        <f>SUM(P56:P65)</f>
        <v>492</v>
      </c>
      <c r="Q66" s="394">
        <f>SUM(Q56:Q65)</f>
        <v>552</v>
      </c>
    </row>
    <row r="67" spans="1:17" s="29" customFormat="1" ht="15" customHeight="1">
      <c r="C67" s="402"/>
      <c r="D67" s="402"/>
      <c r="E67" s="402"/>
      <c r="F67" s="402"/>
      <c r="G67" s="402"/>
      <c r="H67" s="402"/>
      <c r="I67" s="402"/>
      <c r="J67" s="402"/>
      <c r="K67" s="402"/>
      <c r="L67" s="402"/>
    </row>
    <row r="68" spans="1:17" ht="15" customHeight="1"/>
    <row r="69" spans="1:17" ht="15" customHeight="1"/>
    <row r="70" spans="1:17" ht="15" customHeight="1"/>
    <row r="71" spans="1:17" ht="15" customHeight="1"/>
    <row r="72" spans="1:17" ht="15" customHeight="1"/>
    <row r="73" spans="1:17" ht="15" customHeight="1"/>
    <row r="74" spans="1:17" ht="15" customHeight="1"/>
    <row r="75" spans="1:17" ht="15" customHeight="1"/>
    <row r="76" spans="1:17" ht="15" customHeight="1"/>
    <row r="77" spans="1:17" ht="15" customHeight="1"/>
    <row r="78" spans="1:17" ht="15" customHeight="1"/>
    <row r="79" spans="1:17" ht="15" customHeight="1"/>
    <row r="80" spans="1: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FDDB7D7-275F-4F23-B770-BAF5AFA4F358}" scale="78" showGridLines="0" fitToPage="1" showRuler="0" topLeftCell="B1">
      <selection activeCell="Q1" sqref="Q1:R1048576"/>
      <pageMargins left="0.75" right="0.75" top="1" bottom="1" header="0.5" footer="0.5"/>
      <pageSetup paperSize="9" scale="71" fitToHeight="0" orientation="landscape" r:id="rId1"/>
      <headerFooter alignWithMargins="0"/>
    </customSheetView>
    <customSheetView guid="{12F8D032-8143-430B-8DFF-852E8796C402}" scale="78" showGridLines="0" fitToPage="1" showRuler="0" topLeftCell="B1">
      <selection activeCell="Q1" sqref="Q1:R1048576"/>
      <pageMargins left="0.75" right="0.75" top="1" bottom="1" header="0.5" footer="0.5"/>
      <pageSetup paperSize="9" scale="71" fitToHeight="0" orientation="landscape" r:id="rId2"/>
      <headerFooter alignWithMargins="0"/>
    </customSheetView>
    <customSheetView guid="{687A4863-1825-4D63-B732-E76682E6DE4F}" scale="78" showGridLines="0" fitToPage="1" showRuler="0" topLeftCell="B1">
      <selection activeCell="Q1" sqref="Q1:R1048576"/>
      <pageMargins left="0.75" right="0.75" top="1" bottom="1" header="0.5" footer="0.5"/>
      <pageSetup paperSize="9" scale="71" fitToHeight="0" orientation="landscape" r:id="rId3"/>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4"/>
      <headerFooter alignWithMargins="0"/>
    </customSheetView>
    <customSheetView guid="{8DA78CF1-615A-4626-9893-6751995631A4}" scale="78" showGridLines="0" fitToPage="1" showRuler="0" topLeftCell="H1">
      <selection activeCell="P21" sqref="O21:P21"/>
      <pageMargins left="0.75" right="0.75" top="1" bottom="1" header="0.5" footer="0.5"/>
      <pageSetup paperSize="9" scale="71" fitToHeight="0" orientation="landscape" r:id="rId5"/>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6"/>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7"/>
      <headerFooter alignWithMargins="0"/>
    </customSheetView>
    <customSheetView guid="{9AF4A83C-CF57-4B40-8A74-6A0EA6C2FE5C}" scale="70" showGridLines="0" fitToPage="1" showRuler="0" topLeftCell="A31">
      <selection activeCell="B81" sqref="B81"/>
      <pageMargins left="0.75" right="0.75" top="1" bottom="1" header="0.5" footer="0.5"/>
      <pageSetup paperSize="9" scale="71" fitToHeight="0" orientation="landscape" r:id="rId8"/>
      <headerFooter alignWithMargins="0"/>
    </customSheetView>
    <customSheetView guid="{746490BF-9C44-4B41-8803-BEC9E453576A}" scale="78" showGridLines="0" fitToPage="1" showRuler="0" topLeftCell="B1">
      <selection activeCell="Q1" sqref="Q1:R1048576"/>
      <pageMargins left="0.75" right="0.75" top="1" bottom="1" header="0.5" footer="0.5"/>
      <pageSetup paperSize="9" scale="71" fitToHeight="0" orientation="landscape" r:id="rId9"/>
      <headerFooter alignWithMargins="0"/>
    </customSheetView>
  </customSheetViews>
  <pageMargins left="0.75" right="0.75" top="1" bottom="1" header="0.5" footer="0.5"/>
  <pageSetup paperSize="9" scale="71" fitToHeight="0" orientation="landscape" r:id="rId10"/>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showRuler="0" zoomScale="110" zoomScaleNormal="11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72" customWidth="1"/>
    <col min="3" max="14" width="13.42578125" style="72" customWidth="1"/>
    <col min="15" max="16" width="12.42578125" style="72" customWidth="1"/>
    <col min="17" max="17" width="10.85546875" style="72" bestFit="1" customWidth="1"/>
    <col min="18" max="16384" width="9.140625" style="72"/>
  </cols>
  <sheetData>
    <row r="1" spans="1:17"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623</v>
      </c>
      <c r="N1" s="79" t="s">
        <v>632</v>
      </c>
      <c r="O1" s="410" t="s">
        <v>670</v>
      </c>
      <c r="P1" s="422" t="s">
        <v>674</v>
      </c>
      <c r="Q1" s="444" t="s">
        <v>685</v>
      </c>
    </row>
    <row r="2" spans="1:17" ht="15" customHeight="1">
      <c r="A2" s="80" t="s">
        <v>228</v>
      </c>
      <c r="B2" s="75" t="s">
        <v>364</v>
      </c>
      <c r="C2" s="361">
        <v>-313223</v>
      </c>
      <c r="D2" s="361">
        <v>-317819</v>
      </c>
      <c r="E2" s="361">
        <v>-325457</v>
      </c>
      <c r="F2" s="361">
        <v>-336586</v>
      </c>
      <c r="G2" s="361">
        <v>-324869</v>
      </c>
      <c r="H2" s="361">
        <v>-336786</v>
      </c>
      <c r="I2" s="361">
        <v>-355258</v>
      </c>
      <c r="J2" s="361">
        <v>-387929</v>
      </c>
      <c r="K2" s="362">
        <v>-365099</v>
      </c>
      <c r="L2" s="362">
        <v>-373083</v>
      </c>
      <c r="M2" s="362">
        <v>-364128</v>
      </c>
      <c r="N2" s="362">
        <v>-373797</v>
      </c>
      <c r="O2" s="411">
        <v>-360903</v>
      </c>
      <c r="P2" s="411">
        <v>-277620</v>
      </c>
      <c r="Q2" s="445">
        <v>-330755</v>
      </c>
    </row>
    <row r="3" spans="1:17" ht="15" customHeight="1">
      <c r="A3" s="80" t="s">
        <v>232</v>
      </c>
      <c r="B3" s="75" t="s">
        <v>365</v>
      </c>
      <c r="C3" s="361">
        <v>-58065</v>
      </c>
      <c r="D3" s="361">
        <v>-55758</v>
      </c>
      <c r="E3" s="361">
        <v>-53343</v>
      </c>
      <c r="F3" s="361">
        <v>-49767</v>
      </c>
      <c r="G3" s="361">
        <v>-59367</v>
      </c>
      <c r="H3" s="361">
        <v>-58364</v>
      </c>
      <c r="I3" s="361">
        <v>-57479</v>
      </c>
      <c r="J3" s="361">
        <v>-58166</v>
      </c>
      <c r="K3" s="362">
        <v>-68093</v>
      </c>
      <c r="L3" s="362">
        <v>-64931</v>
      </c>
      <c r="M3" s="362">
        <v>-59348</v>
      </c>
      <c r="N3" s="362">
        <v>-48002</v>
      </c>
      <c r="O3" s="411">
        <v>-67574</v>
      </c>
      <c r="P3" s="411">
        <v>-50989</v>
      </c>
      <c r="Q3" s="445">
        <v>-57115</v>
      </c>
    </row>
    <row r="4" spans="1:17" ht="15" customHeight="1">
      <c r="A4" s="80" t="s">
        <v>635</v>
      </c>
      <c r="B4" s="75" t="s">
        <v>636</v>
      </c>
      <c r="C4" s="361"/>
      <c r="D4" s="361">
        <v>0</v>
      </c>
      <c r="E4" s="361">
        <v>0</v>
      </c>
      <c r="F4" s="361">
        <v>0</v>
      </c>
      <c r="G4" s="361">
        <v>0</v>
      </c>
      <c r="H4" s="361">
        <v>0</v>
      </c>
      <c r="I4" s="361">
        <v>0</v>
      </c>
      <c r="J4" s="361">
        <v>0</v>
      </c>
      <c r="K4" s="361">
        <v>0</v>
      </c>
      <c r="L4" s="361">
        <v>0</v>
      </c>
      <c r="M4" s="361">
        <v>0</v>
      </c>
      <c r="N4" s="362">
        <v>-1661</v>
      </c>
      <c r="O4" s="411">
        <v>-2389</v>
      </c>
      <c r="P4" s="411">
        <v>-2366</v>
      </c>
      <c r="Q4" s="445">
        <v>-2274</v>
      </c>
    </row>
    <row r="5" spans="1:17" ht="15" customHeight="1">
      <c r="A5" s="80" t="s">
        <v>229</v>
      </c>
      <c r="B5" s="75" t="s">
        <v>366</v>
      </c>
      <c r="C5" s="361">
        <v>-2480</v>
      </c>
      <c r="D5" s="361">
        <v>-5022</v>
      </c>
      <c r="E5" s="361">
        <v>-2827</v>
      </c>
      <c r="F5" s="361">
        <v>-8401</v>
      </c>
      <c r="G5" s="361">
        <v>-2877</v>
      </c>
      <c r="H5" s="361">
        <v>-4740</v>
      </c>
      <c r="I5" s="361">
        <v>-3271</v>
      </c>
      <c r="J5" s="361">
        <v>-9982</v>
      </c>
      <c r="K5" s="362">
        <v>-2527</v>
      </c>
      <c r="L5" s="362">
        <v>-4323</v>
      </c>
      <c r="M5" s="362">
        <v>-4051</v>
      </c>
      <c r="N5" s="362">
        <v>-8809</v>
      </c>
      <c r="O5" s="411">
        <v>-2388</v>
      </c>
      <c r="P5" s="411">
        <v>-94</v>
      </c>
      <c r="Q5" s="445">
        <v>-2080</v>
      </c>
    </row>
    <row r="6" spans="1:17" ht="15" customHeight="1">
      <c r="A6" s="80" t="s">
        <v>230</v>
      </c>
      <c r="B6" s="75" t="s">
        <v>367</v>
      </c>
      <c r="C6" s="361">
        <v>-8395</v>
      </c>
      <c r="D6" s="361">
        <v>-9900</v>
      </c>
      <c r="E6" s="361">
        <v>-8782</v>
      </c>
      <c r="F6" s="361">
        <v>-12628</v>
      </c>
      <c r="G6" s="361">
        <v>-8299</v>
      </c>
      <c r="H6" s="361">
        <v>-9594</v>
      </c>
      <c r="I6" s="361">
        <v>-9548</v>
      </c>
      <c r="J6" s="361">
        <v>-13044</v>
      </c>
      <c r="K6" s="362">
        <v>-8896</v>
      </c>
      <c r="L6" s="362">
        <v>-9476</v>
      </c>
      <c r="M6" s="362">
        <v>-9990</v>
      </c>
      <c r="N6" s="362">
        <v>-11297</v>
      </c>
      <c r="O6" s="411">
        <v>-8659</v>
      </c>
      <c r="P6" s="411">
        <v>-9083</v>
      </c>
      <c r="Q6" s="445">
        <v>-9122</v>
      </c>
    </row>
    <row r="7" spans="1:17" ht="15" customHeight="1">
      <c r="A7" s="80" t="s">
        <v>231</v>
      </c>
      <c r="B7" s="89" t="s">
        <v>368</v>
      </c>
      <c r="C7" s="361">
        <v>-624</v>
      </c>
      <c r="D7" s="361">
        <v>-620</v>
      </c>
      <c r="E7" s="361">
        <v>-625</v>
      </c>
      <c r="F7" s="361">
        <v>7705</v>
      </c>
      <c r="G7" s="361">
        <v>-579</v>
      </c>
      <c r="H7" s="361">
        <v>16487</v>
      </c>
      <c r="I7" s="361">
        <v>-205</v>
      </c>
      <c r="J7" s="361">
        <v>13428</v>
      </c>
      <c r="K7" s="362">
        <v>-5</v>
      </c>
      <c r="L7" s="362">
        <v>-4</v>
      </c>
      <c r="M7" s="362">
        <v>-115</v>
      </c>
      <c r="N7" s="362">
        <v>7687</v>
      </c>
      <c r="O7" s="411">
        <v>-138</v>
      </c>
      <c r="P7" s="411">
        <v>-412</v>
      </c>
      <c r="Q7" s="445">
        <v>-4</v>
      </c>
    </row>
    <row r="8" spans="1:17" ht="15" customHeight="1">
      <c r="A8" s="80" t="s">
        <v>233</v>
      </c>
      <c r="B8" s="75" t="s">
        <v>369</v>
      </c>
      <c r="C8" s="361">
        <v>0</v>
      </c>
      <c r="D8" s="361">
        <v>0</v>
      </c>
      <c r="E8" s="361">
        <v>0</v>
      </c>
      <c r="F8" s="361">
        <v>0</v>
      </c>
      <c r="G8" s="361">
        <v>0</v>
      </c>
      <c r="H8" s="361">
        <v>0</v>
      </c>
      <c r="I8" s="361">
        <v>0</v>
      </c>
      <c r="J8" s="361">
        <v>0</v>
      </c>
      <c r="K8" s="362">
        <v>-80000</v>
      </c>
      <c r="L8" s="362">
        <v>-6320</v>
      </c>
      <c r="M8" s="362">
        <v>-1860</v>
      </c>
      <c r="N8" s="362">
        <v>-11630</v>
      </c>
      <c r="O8" s="411">
        <v>-5612</v>
      </c>
      <c r="P8" s="411">
        <v>-5500</v>
      </c>
      <c r="Q8" s="445">
        <v>-4313</v>
      </c>
    </row>
    <row r="9" spans="1:17" s="2" customFormat="1" ht="15" customHeight="1">
      <c r="A9" s="94" t="s">
        <v>361</v>
      </c>
      <c r="B9" s="94" t="s">
        <v>370</v>
      </c>
      <c r="C9" s="194">
        <f t="shared" ref="C9:L9" si="0">SUM(C2:C8)</f>
        <v>-382787</v>
      </c>
      <c r="D9" s="194">
        <f t="shared" si="0"/>
        <v>-389119</v>
      </c>
      <c r="E9" s="194">
        <f t="shared" si="0"/>
        <v>-391034</v>
      </c>
      <c r="F9" s="194">
        <f t="shared" si="0"/>
        <v>-399677</v>
      </c>
      <c r="G9" s="194">
        <f t="shared" si="0"/>
        <v>-395991</v>
      </c>
      <c r="H9" s="194">
        <f t="shared" si="0"/>
        <v>-392997</v>
      </c>
      <c r="I9" s="194">
        <f t="shared" si="0"/>
        <v>-425761</v>
      </c>
      <c r="J9" s="194">
        <f t="shared" si="0"/>
        <v>-455693</v>
      </c>
      <c r="K9" s="363">
        <f t="shared" si="0"/>
        <v>-524620</v>
      </c>
      <c r="L9" s="363">
        <f t="shared" si="0"/>
        <v>-458137</v>
      </c>
      <c r="M9" s="363">
        <f>SUM(M2:M8)</f>
        <v>-439492</v>
      </c>
      <c r="N9" s="363">
        <f>SUM(N2:N8)</f>
        <v>-447509</v>
      </c>
      <c r="O9" s="412">
        <f>SUM(O2:O8)</f>
        <v>-447663</v>
      </c>
      <c r="P9" s="412">
        <f>SUM(P2:P8)</f>
        <v>-346064</v>
      </c>
      <c r="Q9" s="446">
        <f>SUM(Q2:Q8)</f>
        <v>-405663</v>
      </c>
    </row>
    <row r="10" spans="1:17" ht="15" customHeight="1">
      <c r="A10" s="81"/>
      <c r="B10" s="74"/>
    </row>
    <row r="11" spans="1:17" ht="15" customHeight="1">
      <c r="A11" s="359"/>
      <c r="B11" s="360"/>
    </row>
    <row r="12" spans="1:17" ht="15" customHeight="1" thickBot="1">
      <c r="A12" s="236" t="s">
        <v>360</v>
      </c>
      <c r="B12" s="236" t="s">
        <v>371</v>
      </c>
      <c r="C12" s="79" t="s">
        <v>115</v>
      </c>
      <c r="D12" s="79" t="s">
        <v>111</v>
      </c>
      <c r="E12" s="79" t="s">
        <v>116</v>
      </c>
      <c r="F12" s="79" t="s">
        <v>117</v>
      </c>
      <c r="G12" s="79" t="s">
        <v>118</v>
      </c>
      <c r="H12" s="79" t="s">
        <v>136</v>
      </c>
      <c r="I12" s="79" t="s">
        <v>137</v>
      </c>
      <c r="J12" s="79" t="s">
        <v>146</v>
      </c>
      <c r="K12" s="79" t="s">
        <v>155</v>
      </c>
      <c r="L12" s="79" t="s">
        <v>588</v>
      </c>
      <c r="M12" s="79" t="str">
        <f>M1</f>
        <v>III Q 2019</v>
      </c>
      <c r="N12" s="79" t="str">
        <f>N1</f>
        <v>IV Q 2019</v>
      </c>
      <c r="O12" s="410" t="str">
        <f>O1</f>
        <v>I Q 2020</v>
      </c>
      <c r="P12" s="410" t="str">
        <f>P1</f>
        <v>II Q 2020</v>
      </c>
      <c r="Q12" s="444" t="str">
        <f>Q1</f>
        <v>III Q 2020</v>
      </c>
    </row>
    <row r="13" spans="1:17" ht="15" customHeight="1">
      <c r="A13" s="80" t="s">
        <v>234</v>
      </c>
      <c r="B13" s="75" t="s">
        <v>377</v>
      </c>
      <c r="C13" s="76">
        <v>-12876</v>
      </c>
      <c r="D13" s="76">
        <v>-11748</v>
      </c>
      <c r="E13" s="76">
        <v>-14672</v>
      </c>
      <c r="F13" s="76">
        <v>-13615</v>
      </c>
      <c r="G13" s="76">
        <v>-12855</v>
      </c>
      <c r="H13" s="76">
        <v>-20043</v>
      </c>
      <c r="I13" s="76">
        <v>-15324</v>
      </c>
      <c r="J13" s="76">
        <v>-16474</v>
      </c>
      <c r="K13" s="261">
        <v>-15747</v>
      </c>
      <c r="L13" s="261">
        <v>-15742</v>
      </c>
      <c r="M13" s="261">
        <v>-14422</v>
      </c>
      <c r="N13" s="261">
        <v>-20634</v>
      </c>
      <c r="O13" s="416">
        <v>-17218</v>
      </c>
      <c r="P13" s="416">
        <v>-16581</v>
      </c>
      <c r="Q13" s="447">
        <v>-15476</v>
      </c>
    </row>
    <row r="14" spans="1:17" ht="15" customHeight="1">
      <c r="A14" s="80" t="s">
        <v>235</v>
      </c>
      <c r="B14" s="75" t="s">
        <v>378</v>
      </c>
      <c r="C14" s="76">
        <v>-54010</v>
      </c>
      <c r="D14" s="76">
        <v>-54373</v>
      </c>
      <c r="E14" s="76">
        <v>-54775</v>
      </c>
      <c r="F14" s="76">
        <v>-49889</v>
      </c>
      <c r="G14" s="76">
        <v>-60331</v>
      </c>
      <c r="H14" s="76">
        <v>-80520</v>
      </c>
      <c r="I14" s="76">
        <v>-75179</v>
      </c>
      <c r="J14" s="76">
        <v>-28406</v>
      </c>
      <c r="K14" s="261">
        <v>-77507</v>
      </c>
      <c r="L14" s="261">
        <v>-78060</v>
      </c>
      <c r="M14" s="261">
        <v>-80745</v>
      </c>
      <c r="N14" s="261">
        <v>-72028</v>
      </c>
      <c r="O14" s="416">
        <v>-82364</v>
      </c>
      <c r="P14" s="416">
        <v>-84587</v>
      </c>
      <c r="Q14" s="447">
        <v>-81851</v>
      </c>
    </row>
    <row r="15" spans="1:17" ht="15" customHeight="1">
      <c r="A15" s="80" t="s">
        <v>236</v>
      </c>
      <c r="B15" s="75" t="s">
        <v>653</v>
      </c>
      <c r="C15" s="76">
        <v>-13314</v>
      </c>
      <c r="D15" s="76">
        <v>-11378</v>
      </c>
      <c r="E15" s="76">
        <v>-13908</v>
      </c>
      <c r="F15" s="76">
        <v>-26974</v>
      </c>
      <c r="G15" s="76">
        <v>-18862</v>
      </c>
      <c r="H15" s="76">
        <v>-23433</v>
      </c>
      <c r="I15" s="76">
        <v>-20063</v>
      </c>
      <c r="J15" s="76">
        <v>-27315</v>
      </c>
      <c r="K15" s="261">
        <v>-14522</v>
      </c>
      <c r="L15" s="261">
        <v>-21059</v>
      </c>
      <c r="M15" s="261">
        <v>-22522</v>
      </c>
      <c r="N15" s="261">
        <v>-14322</v>
      </c>
      <c r="O15" s="416">
        <v>-15713</v>
      </c>
      <c r="P15" s="416">
        <v>-20785</v>
      </c>
      <c r="Q15" s="447">
        <v>-22874</v>
      </c>
    </row>
    <row r="16" spans="1:17" ht="15" customHeight="1">
      <c r="A16" s="80" t="s">
        <v>237</v>
      </c>
      <c r="B16" s="75" t="s">
        <v>379</v>
      </c>
      <c r="C16" s="76">
        <v>-8126</v>
      </c>
      <c r="D16" s="76">
        <v>-8131</v>
      </c>
      <c r="E16" s="76">
        <v>-7509</v>
      </c>
      <c r="F16" s="76">
        <v>-9821</v>
      </c>
      <c r="G16" s="76">
        <v>-8507</v>
      </c>
      <c r="H16" s="76">
        <v>-9020</v>
      </c>
      <c r="I16" s="76">
        <v>-7254</v>
      </c>
      <c r="J16" s="76">
        <v>-12496</v>
      </c>
      <c r="K16" s="261">
        <v>-9635</v>
      </c>
      <c r="L16" s="261">
        <v>-10536</v>
      </c>
      <c r="M16" s="261">
        <v>-10717</v>
      </c>
      <c r="N16" s="261">
        <v>-8258</v>
      </c>
      <c r="O16" s="416">
        <v>-9171</v>
      </c>
      <c r="P16" s="416">
        <v>-11399</v>
      </c>
      <c r="Q16" s="447">
        <v>-10036</v>
      </c>
    </row>
    <row r="17" spans="1:17" ht="15" customHeight="1">
      <c r="A17" s="80" t="s">
        <v>238</v>
      </c>
      <c r="B17" s="75" t="s">
        <v>380</v>
      </c>
      <c r="C17" s="76">
        <v>-3587</v>
      </c>
      <c r="D17" s="76">
        <v>-3087</v>
      </c>
      <c r="E17" s="76">
        <v>-3900</v>
      </c>
      <c r="F17" s="76">
        <v>-3563</v>
      </c>
      <c r="G17" s="76">
        <v>-10808</v>
      </c>
      <c r="H17" s="76">
        <v>-7629</v>
      </c>
      <c r="I17" s="76">
        <v>-7325</v>
      </c>
      <c r="J17" s="76">
        <v>1587</v>
      </c>
      <c r="K17" s="261">
        <v>-958</v>
      </c>
      <c r="L17" s="261">
        <v>-4770</v>
      </c>
      <c r="M17" s="261">
        <v>-6920</v>
      </c>
      <c r="N17" s="261">
        <v>-1948</v>
      </c>
      <c r="O17" s="416">
        <v>-3114</v>
      </c>
      <c r="P17" s="416">
        <v>-1153</v>
      </c>
      <c r="Q17" s="447">
        <v>-1194</v>
      </c>
    </row>
    <row r="18" spans="1:17" ht="15" customHeight="1">
      <c r="A18" s="80" t="s">
        <v>372</v>
      </c>
      <c r="B18" s="75" t="s">
        <v>381</v>
      </c>
      <c r="C18" s="76">
        <v>-20821</v>
      </c>
      <c r="D18" s="76">
        <v>-20231</v>
      </c>
      <c r="E18" s="76">
        <v>-23224</v>
      </c>
      <c r="F18" s="76">
        <v>-40340</v>
      </c>
      <c r="G18" s="76">
        <v>-36102</v>
      </c>
      <c r="H18" s="76">
        <v>-37999</v>
      </c>
      <c r="I18" s="76">
        <v>-31530</v>
      </c>
      <c r="J18" s="76">
        <v>-47374</v>
      </c>
      <c r="K18" s="261">
        <v>-40571</v>
      </c>
      <c r="L18" s="261">
        <v>-45574</v>
      </c>
      <c r="M18" s="261">
        <v>-41814</v>
      </c>
      <c r="N18" s="261">
        <v>-36375</v>
      </c>
      <c r="O18" s="416">
        <v>-39040</v>
      </c>
      <c r="P18" s="416">
        <v>-34056</v>
      </c>
      <c r="Q18" s="447">
        <v>-35076</v>
      </c>
    </row>
    <row r="19" spans="1:17" ht="15" customHeight="1">
      <c r="A19" s="80" t="s">
        <v>600</v>
      </c>
      <c r="B19" s="75" t="s">
        <v>382</v>
      </c>
      <c r="C19" s="76">
        <v>-6765</v>
      </c>
      <c r="D19" s="76">
        <v>-7098</v>
      </c>
      <c r="E19" s="76">
        <v>-7602</v>
      </c>
      <c r="F19" s="76">
        <v>-3821</v>
      </c>
      <c r="G19" s="76">
        <v>-7083</v>
      </c>
      <c r="H19" s="76">
        <v>-7698</v>
      </c>
      <c r="I19" s="76">
        <v>-6726</v>
      </c>
      <c r="J19" s="76">
        <v>-5849</v>
      </c>
      <c r="K19" s="261">
        <v>-7380</v>
      </c>
      <c r="L19" s="261">
        <v>-7650</v>
      </c>
      <c r="M19" s="261">
        <v>-7514</v>
      </c>
      <c r="N19" s="261">
        <v>-3184</v>
      </c>
      <c r="O19" s="416">
        <v>-5693</v>
      </c>
      <c r="P19" s="416">
        <v>-6815</v>
      </c>
      <c r="Q19" s="447">
        <v>-6187</v>
      </c>
    </row>
    <row r="20" spans="1:17" s="73" customFormat="1" ht="15" customHeight="1">
      <c r="A20" s="80" t="s">
        <v>373</v>
      </c>
      <c r="B20" s="246" t="s">
        <v>383</v>
      </c>
      <c r="C20" s="88">
        <v>-86295</v>
      </c>
      <c r="D20" s="88">
        <v>-87668</v>
      </c>
      <c r="E20" s="88">
        <v>-81112</v>
      </c>
      <c r="F20" s="88">
        <v>-93215</v>
      </c>
      <c r="G20" s="88">
        <v>-84167</v>
      </c>
      <c r="H20" s="88">
        <v>-84204</v>
      </c>
      <c r="I20" s="88">
        <v>-84653</v>
      </c>
      <c r="J20" s="88">
        <v>-93181</v>
      </c>
      <c r="K20" s="261">
        <v>-49625</v>
      </c>
      <c r="L20" s="261">
        <v>-34252</v>
      </c>
      <c r="M20" s="261">
        <v>-32849</v>
      </c>
      <c r="N20" s="261">
        <v>-12117</v>
      </c>
      <c r="O20" s="416">
        <v>-30257</v>
      </c>
      <c r="P20" s="416">
        <v>-38078</v>
      </c>
      <c r="Q20" s="447">
        <v>-31078</v>
      </c>
    </row>
    <row r="21" spans="1:17" ht="30" customHeight="1">
      <c r="A21" s="364" t="s">
        <v>239</v>
      </c>
      <c r="B21" s="89" t="s">
        <v>384</v>
      </c>
      <c r="C21" s="361">
        <v>-105152</v>
      </c>
      <c r="D21" s="361">
        <v>-70153</v>
      </c>
      <c r="E21" s="361">
        <v>-24541</v>
      </c>
      <c r="F21" s="361">
        <v>-24322</v>
      </c>
      <c r="G21" s="361">
        <v>-163630</v>
      </c>
      <c r="H21" s="361">
        <v>-3351</v>
      </c>
      <c r="I21" s="361">
        <v>-24742</v>
      </c>
      <c r="J21" s="361">
        <v>-28093</v>
      </c>
      <c r="K21" s="362">
        <v>-227995</v>
      </c>
      <c r="L21" s="362">
        <v>-29111</v>
      </c>
      <c r="M21" s="362">
        <v>-28041</v>
      </c>
      <c r="N21" s="362">
        <v>-26053</v>
      </c>
      <c r="O21" s="411">
        <v>-294897</v>
      </c>
      <c r="P21" s="411">
        <v>-44432</v>
      </c>
      <c r="Q21" s="445">
        <v>-49562</v>
      </c>
    </row>
    <row r="22" spans="1:17" ht="15" customHeight="1">
      <c r="A22" s="80" t="s">
        <v>240</v>
      </c>
      <c r="B22" s="75" t="s">
        <v>385</v>
      </c>
      <c r="C22" s="76">
        <v>-30598</v>
      </c>
      <c r="D22" s="76">
        <v>-32056</v>
      </c>
      <c r="E22" s="76">
        <v>-25584</v>
      </c>
      <c r="F22" s="76">
        <v>-45668</v>
      </c>
      <c r="G22" s="76">
        <v>-25464</v>
      </c>
      <c r="H22" s="76">
        <v>-43050</v>
      </c>
      <c r="I22" s="76">
        <v>-59360</v>
      </c>
      <c r="J22" s="76">
        <v>-61444</v>
      </c>
      <c r="K22" s="261">
        <v>-34702</v>
      </c>
      <c r="L22" s="261">
        <v>-43143</v>
      </c>
      <c r="M22" s="261">
        <v>-40751</v>
      </c>
      <c r="N22" s="261">
        <v>-65730</v>
      </c>
      <c r="O22" s="416">
        <v>-25493</v>
      </c>
      <c r="P22" s="416">
        <v>-18615</v>
      </c>
      <c r="Q22" s="447">
        <v>-23300</v>
      </c>
    </row>
    <row r="23" spans="1:17" ht="15" customHeight="1">
      <c r="A23" s="80" t="s">
        <v>374</v>
      </c>
      <c r="B23" s="75" t="s">
        <v>386</v>
      </c>
      <c r="C23" s="76">
        <v>-16399</v>
      </c>
      <c r="D23" s="76">
        <v>-16733</v>
      </c>
      <c r="E23" s="76">
        <v>-16052</v>
      </c>
      <c r="F23" s="76">
        <v>-18172</v>
      </c>
      <c r="G23" s="76">
        <v>-15241</v>
      </c>
      <c r="H23" s="76">
        <v>-16955</v>
      </c>
      <c r="I23" s="76">
        <v>-17067</v>
      </c>
      <c r="J23" s="76">
        <v>-22200</v>
      </c>
      <c r="K23" s="261">
        <v>-19188</v>
      </c>
      <c r="L23" s="261">
        <v>-14261</v>
      </c>
      <c r="M23" s="261">
        <v>-19287</v>
      </c>
      <c r="N23" s="261">
        <v>-14252</v>
      </c>
      <c r="O23" s="416">
        <v>-13939</v>
      </c>
      <c r="P23" s="416">
        <v>-14580</v>
      </c>
      <c r="Q23" s="447">
        <v>-14678</v>
      </c>
    </row>
    <row r="24" spans="1:17" ht="15" customHeight="1">
      <c r="A24" s="80" t="s">
        <v>241</v>
      </c>
      <c r="B24" s="75" t="s">
        <v>387</v>
      </c>
      <c r="C24" s="76">
        <v>-3609</v>
      </c>
      <c r="D24" s="76">
        <v>-3721</v>
      </c>
      <c r="E24" s="76">
        <v>-3764</v>
      </c>
      <c r="F24" s="76">
        <v>-1364</v>
      </c>
      <c r="G24" s="76">
        <v>-3562</v>
      </c>
      <c r="H24" s="76">
        <v>-3482</v>
      </c>
      <c r="I24" s="76">
        <v>-3492</v>
      </c>
      <c r="J24" s="76">
        <v>87</v>
      </c>
      <c r="K24" s="261">
        <v>-3320</v>
      </c>
      <c r="L24" s="261">
        <v>-3128</v>
      </c>
      <c r="M24" s="261">
        <v>-2985</v>
      </c>
      <c r="N24" s="261">
        <v>262</v>
      </c>
      <c r="O24" s="416">
        <v>-2877</v>
      </c>
      <c r="P24" s="416">
        <v>-2752</v>
      </c>
      <c r="Q24" s="447">
        <v>-2808</v>
      </c>
    </row>
    <row r="25" spans="1:17" ht="15" customHeight="1">
      <c r="A25" s="82" t="s">
        <v>375</v>
      </c>
      <c r="B25" s="77" t="s">
        <v>388</v>
      </c>
      <c r="C25" s="76">
        <v>-7501</v>
      </c>
      <c r="D25" s="76">
        <v>-6286</v>
      </c>
      <c r="E25" s="76">
        <v>-6667</v>
      </c>
      <c r="F25" s="76">
        <v>-8026</v>
      </c>
      <c r="G25" s="76">
        <v>-7172</v>
      </c>
      <c r="H25" s="76">
        <v>-8347</v>
      </c>
      <c r="I25" s="76">
        <v>-7630</v>
      </c>
      <c r="J25" s="76">
        <v>-7888</v>
      </c>
      <c r="K25" s="261">
        <v>-8888</v>
      </c>
      <c r="L25" s="261">
        <v>-9065</v>
      </c>
      <c r="M25" s="261">
        <v>-8897</v>
      </c>
      <c r="N25" s="261">
        <v>-8841</v>
      </c>
      <c r="O25" s="416">
        <v>-6186</v>
      </c>
      <c r="P25" s="416">
        <v>-6213</v>
      </c>
      <c r="Q25" s="447">
        <v>-7362</v>
      </c>
    </row>
    <row r="26" spans="1:17" ht="15" customHeight="1">
      <c r="A26" s="82" t="s">
        <v>376</v>
      </c>
      <c r="B26" s="77" t="s">
        <v>389</v>
      </c>
      <c r="C26" s="76">
        <v>-6104</v>
      </c>
      <c r="D26" s="76">
        <v>-5833</v>
      </c>
      <c r="E26" s="76">
        <v>-6904</v>
      </c>
      <c r="F26" s="76">
        <v>-8439</v>
      </c>
      <c r="G26" s="76">
        <v>-6192</v>
      </c>
      <c r="H26" s="76">
        <v>-5445</v>
      </c>
      <c r="I26" s="76">
        <v>-8149</v>
      </c>
      <c r="J26" s="76">
        <v>-12923</v>
      </c>
      <c r="K26" s="261">
        <v>-7921</v>
      </c>
      <c r="L26" s="261">
        <v>-5231</v>
      </c>
      <c r="M26" s="261">
        <v>-7552</v>
      </c>
      <c r="N26" s="261">
        <v>-6576</v>
      </c>
      <c r="O26" s="416">
        <v>-5723</v>
      </c>
      <c r="P26" s="416">
        <v>-5575</v>
      </c>
      <c r="Q26" s="447">
        <v>-5476</v>
      </c>
    </row>
    <row r="27" spans="1:17" s="73" customFormat="1" ht="15" customHeight="1">
      <c r="A27" s="82" t="s">
        <v>275</v>
      </c>
      <c r="B27" s="87" t="s">
        <v>300</v>
      </c>
      <c r="C27" s="88">
        <v>-5766</v>
      </c>
      <c r="D27" s="88">
        <v>-6472</v>
      </c>
      <c r="E27" s="88">
        <v>-5118</v>
      </c>
      <c r="F27" s="88">
        <v>-8363</v>
      </c>
      <c r="G27" s="88">
        <v>-6487</v>
      </c>
      <c r="H27" s="88">
        <v>-7240</v>
      </c>
      <c r="I27" s="88">
        <v>-6199</v>
      </c>
      <c r="J27" s="88">
        <v>-10775</v>
      </c>
      <c r="K27" s="261">
        <v>-3940</v>
      </c>
      <c r="L27" s="261">
        <v>-8477</v>
      </c>
      <c r="M27" s="261">
        <v>-7692</v>
      </c>
      <c r="N27" s="261">
        <v>-11418</v>
      </c>
      <c r="O27" s="416">
        <v>-6292</v>
      </c>
      <c r="P27" s="416">
        <v>-2864</v>
      </c>
      <c r="Q27" s="447">
        <v>-2419</v>
      </c>
    </row>
    <row r="28" spans="1:17" ht="15" customHeight="1">
      <c r="A28" s="80" t="s">
        <v>243</v>
      </c>
      <c r="B28" s="75" t="s">
        <v>390</v>
      </c>
      <c r="C28" s="76">
        <v>0</v>
      </c>
      <c r="D28" s="76">
        <v>0</v>
      </c>
      <c r="E28" s="76">
        <v>0</v>
      </c>
      <c r="F28" s="76">
        <v>0</v>
      </c>
      <c r="G28" s="76">
        <v>0</v>
      </c>
      <c r="H28" s="76">
        <v>0</v>
      </c>
      <c r="I28" s="76">
        <v>0</v>
      </c>
      <c r="J28" s="76">
        <v>0</v>
      </c>
      <c r="K28" s="261">
        <v>-1951</v>
      </c>
      <c r="L28" s="261">
        <v>-9568</v>
      </c>
      <c r="M28" s="261">
        <v>-4614</v>
      </c>
      <c r="N28" s="261">
        <v>-4542</v>
      </c>
      <c r="O28" s="413">
        <f>-2202-999-151+1</f>
        <v>-3351</v>
      </c>
      <c r="P28" s="413">
        <v>-3029</v>
      </c>
      <c r="Q28" s="447">
        <v>-2982</v>
      </c>
    </row>
    <row r="29" spans="1:17" ht="15" customHeight="1">
      <c r="A29" s="271" t="s">
        <v>601</v>
      </c>
      <c r="B29" s="75" t="s">
        <v>602</v>
      </c>
      <c r="C29" s="76"/>
      <c r="D29" s="76"/>
      <c r="E29" s="76"/>
      <c r="F29" s="76"/>
      <c r="G29" s="76"/>
      <c r="H29" s="76"/>
      <c r="I29" s="76"/>
      <c r="J29" s="76"/>
      <c r="K29" s="261">
        <v>-8389</v>
      </c>
      <c r="L29" s="261">
        <v>-15437</v>
      </c>
      <c r="M29" s="261">
        <v>-12397</v>
      </c>
      <c r="N29" s="261">
        <v>-13436</v>
      </c>
      <c r="O29" s="416">
        <v>-12693</v>
      </c>
      <c r="P29" s="416">
        <v>-9437</v>
      </c>
      <c r="Q29" s="447">
        <v>-11189</v>
      </c>
    </row>
    <row r="30" spans="1:17" ht="15" customHeight="1">
      <c r="A30" s="268"/>
      <c r="B30" s="269"/>
      <c r="C30" s="270"/>
      <c r="D30" s="270"/>
      <c r="E30" s="270"/>
      <c r="F30" s="270"/>
      <c r="G30" s="270"/>
      <c r="H30" s="270"/>
      <c r="I30" s="270"/>
      <c r="J30" s="270"/>
      <c r="K30" s="264"/>
      <c r="L30" s="264"/>
      <c r="M30" s="264"/>
      <c r="N30" s="264"/>
      <c r="O30" s="414"/>
      <c r="P30" s="414"/>
      <c r="Q30" s="448"/>
    </row>
    <row r="31" spans="1:17" s="2" customFormat="1" ht="15.75">
      <c r="A31" s="94" t="s">
        <v>362</v>
      </c>
      <c r="B31" s="94" t="s">
        <v>654</v>
      </c>
      <c r="C31" s="259">
        <f t="shared" ref="C31:J31" si="1">SUM(C13:C28)</f>
        <v>-380923</v>
      </c>
      <c r="D31" s="259">
        <f t="shared" si="1"/>
        <v>-344968</v>
      </c>
      <c r="E31" s="259">
        <f t="shared" si="1"/>
        <v>-295332</v>
      </c>
      <c r="F31" s="259">
        <f t="shared" si="1"/>
        <v>-355592</v>
      </c>
      <c r="G31" s="259">
        <f t="shared" si="1"/>
        <v>-466463</v>
      </c>
      <c r="H31" s="259">
        <f t="shared" si="1"/>
        <v>-358416</v>
      </c>
      <c r="I31" s="259">
        <f t="shared" si="1"/>
        <v>-374693</v>
      </c>
      <c r="J31" s="259">
        <f t="shared" si="1"/>
        <v>-372744</v>
      </c>
      <c r="K31" s="263">
        <f t="shared" ref="K31:P31" si="2">SUM(K13:K29)</f>
        <v>-532239</v>
      </c>
      <c r="L31" s="263">
        <f t="shared" si="2"/>
        <v>-355064</v>
      </c>
      <c r="M31" s="263">
        <f t="shared" si="2"/>
        <v>-349719</v>
      </c>
      <c r="N31" s="263">
        <f t="shared" si="2"/>
        <v>-319452</v>
      </c>
      <c r="O31" s="415">
        <f t="shared" si="2"/>
        <v>-574021</v>
      </c>
      <c r="P31" s="415">
        <f t="shared" si="2"/>
        <v>-320951</v>
      </c>
      <c r="Q31" s="437">
        <f>SUM(Q13:Q29)</f>
        <v>-323548</v>
      </c>
    </row>
    <row r="32" spans="1:17" s="96" customFormat="1">
      <c r="K32" s="262"/>
      <c r="L32" s="272"/>
      <c r="M32" s="272"/>
      <c r="N32" s="272"/>
      <c r="O32" s="419"/>
      <c r="P32" s="419"/>
      <c r="Q32" s="419"/>
    </row>
    <row r="33" spans="1:18">
      <c r="A33" s="258" t="s">
        <v>589</v>
      </c>
      <c r="B33" s="258" t="s">
        <v>590</v>
      </c>
      <c r="C33" s="259">
        <f t="shared" ref="C33:J33" si="3">SUM(C34:C35)</f>
        <v>-101987</v>
      </c>
      <c r="D33" s="259">
        <f t="shared" si="3"/>
        <v>-66974</v>
      </c>
      <c r="E33" s="259">
        <f t="shared" si="3"/>
        <v>-21058</v>
      </c>
      <c r="F33" s="259">
        <f t="shared" si="3"/>
        <v>-20942</v>
      </c>
      <c r="G33" s="259">
        <f t="shared" si="3"/>
        <v>-160255</v>
      </c>
      <c r="H33" s="259">
        <f t="shared" si="3"/>
        <v>34</v>
      </c>
      <c r="I33" s="259">
        <f t="shared" si="3"/>
        <v>-21086</v>
      </c>
      <c r="J33" s="259">
        <f t="shared" si="3"/>
        <v>-21506</v>
      </c>
      <c r="K33" s="263">
        <f t="shared" ref="K33:P33" si="4">SUM(K34:K35)</f>
        <v>-220604</v>
      </c>
      <c r="L33" s="263">
        <f t="shared" si="4"/>
        <v>-20746</v>
      </c>
      <c r="M33" s="263">
        <f t="shared" si="4"/>
        <v>-20802</v>
      </c>
      <c r="N33" s="263">
        <f t="shared" si="4"/>
        <v>-20607</v>
      </c>
      <c r="O33" s="415">
        <f t="shared" si="4"/>
        <v>-287624</v>
      </c>
      <c r="P33" s="415">
        <f t="shared" si="4"/>
        <v>-40392</v>
      </c>
      <c r="Q33" s="437">
        <f>SUM(Q34:Q35)</f>
        <v>-41483</v>
      </c>
      <c r="R33" s="423"/>
    </row>
    <row r="34" spans="1:18">
      <c r="A34" s="260" t="s">
        <v>591</v>
      </c>
      <c r="B34" s="260" t="s">
        <v>592</v>
      </c>
      <c r="C34" s="88">
        <v>-77117</v>
      </c>
      <c r="D34" s="88">
        <v>-49836</v>
      </c>
      <c r="E34" s="88">
        <v>0</v>
      </c>
      <c r="F34" s="88">
        <v>0</v>
      </c>
      <c r="G34" s="88">
        <v>-132329</v>
      </c>
      <c r="H34" s="88">
        <v>27797</v>
      </c>
      <c r="I34" s="88">
        <v>7500</v>
      </c>
      <c r="J34" s="88">
        <v>7500</v>
      </c>
      <c r="K34" s="261">
        <v>-199304</v>
      </c>
      <c r="L34" s="281">
        <v>0</v>
      </c>
      <c r="M34" s="281">
        <v>-9</v>
      </c>
      <c r="N34" s="281">
        <v>0</v>
      </c>
      <c r="O34" s="418">
        <v>-247990</v>
      </c>
      <c r="P34" s="418">
        <v>792</v>
      </c>
      <c r="Q34" s="449">
        <v>0</v>
      </c>
      <c r="R34" s="423"/>
    </row>
    <row r="35" spans="1:18">
      <c r="A35" s="260" t="s">
        <v>593</v>
      </c>
      <c r="B35" s="260" t="s">
        <v>594</v>
      </c>
      <c r="C35" s="88">
        <v>-24870</v>
      </c>
      <c r="D35" s="88">
        <v>-17138</v>
      </c>
      <c r="E35" s="88">
        <v>-21058</v>
      </c>
      <c r="F35" s="88">
        <v>-20942</v>
      </c>
      <c r="G35" s="88">
        <v>-27926</v>
      </c>
      <c r="H35" s="88">
        <v>-27763</v>
      </c>
      <c r="I35" s="88">
        <v>-28586</v>
      </c>
      <c r="J35" s="88">
        <v>-29006</v>
      </c>
      <c r="K35" s="261">
        <v>-21300</v>
      </c>
      <c r="L35" s="261">
        <f>-42046-K35</f>
        <v>-20746</v>
      </c>
      <c r="M35" s="261">
        <v>-20793</v>
      </c>
      <c r="N35" s="261">
        <v>-20607</v>
      </c>
      <c r="O35" s="413">
        <f>-39633648.42/1000</f>
        <v>-39634</v>
      </c>
      <c r="P35" s="418">
        <v>-41184</v>
      </c>
      <c r="Q35" s="449">
        <v>-41483</v>
      </c>
      <c r="R35" s="423"/>
    </row>
    <row r="36" spans="1:18">
      <c r="C36" s="6"/>
      <c r="D36" s="6"/>
      <c r="E36" s="6"/>
      <c r="F36" s="6"/>
      <c r="G36" s="6"/>
      <c r="H36" s="6"/>
      <c r="I36" s="6"/>
      <c r="J36" s="6"/>
      <c r="K36" s="6"/>
      <c r="L36" s="6"/>
      <c r="M36" s="6"/>
      <c r="N36" s="6"/>
      <c r="O36" s="409"/>
      <c r="P36" s="409"/>
      <c r="Q36" s="450"/>
    </row>
    <row r="37" spans="1:18">
      <c r="C37" s="6"/>
      <c r="D37" s="6"/>
      <c r="E37" s="6"/>
      <c r="F37" s="6"/>
      <c r="G37" s="6"/>
      <c r="H37" s="6"/>
      <c r="I37" s="6"/>
      <c r="J37" s="6"/>
      <c r="K37" s="6"/>
      <c r="L37" s="6"/>
      <c r="M37" s="6"/>
      <c r="N37" s="6"/>
      <c r="O37" s="409"/>
      <c r="P37" s="409"/>
      <c r="Q37" s="450"/>
    </row>
    <row r="38" spans="1:18">
      <c r="O38" s="417"/>
      <c r="P38" s="417"/>
      <c r="Q38" s="417"/>
    </row>
  </sheetData>
  <customSheetViews>
    <customSheetView guid="{8FDDB7D7-275F-4F23-B770-BAF5AFA4F358}" scale="110" showGridLines="0" fitToPage="1" showRuler="0">
      <pane xSplit="2" ySplit="1" topLeftCell="C2" activePane="bottomRight" state="frozen"/>
      <selection pane="bottomRight" activeCell="C2" sqref="C2"/>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8DA78CF1-615A-4626-9893-6751995631A4}" scale="70" showGridLines="0" fitToPage="1" showRuler="0" topLeftCell="A10">
      <pane xSplit="1" topLeftCell="N1" activePane="topRight" state="frozen"/>
      <selection pane="topRight" activeCell="V17" sqref="V1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9AF4A83C-CF57-4B40-8A74-6A0EA6C2FE5C}" scale="70" fitToPage="1" showRuler="0">
      <pane xSplit="2" topLeftCell="C1" activePane="topRight" state="frozen"/>
      <selection pane="topRight" activeCell="N31" activeCellId="1" sqref="N9 N31"/>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8"/>
      <headerFooter alignWithMargins="0"/>
    </customSheetView>
    <customSheetView guid="{746490BF-9C44-4B41-8803-BEC9E453576A}" scale="110" showGridLines="0" fitToPage="1" showRuler="0">
      <pane xSplit="2" ySplit="1" topLeftCell="C2" activePane="bottomRight" state="frozen"/>
      <selection pane="bottomRight" activeCell="C2" sqref="C2"/>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9"/>
      <headerFooter alignWithMargins="0"/>
    </customSheetView>
  </customSheetViews>
  <pageMargins left="0.75" right="0.75" top="1" bottom="1" header="0.5" footer="0.5"/>
  <pageSetup paperSize="9" scale="36" orientation="portrait" r:id="rId10"/>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7" width="13.42578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623</v>
      </c>
      <c r="N2" s="40" t="s">
        <v>632</v>
      </c>
      <c r="O2" s="40" t="s">
        <v>670</v>
      </c>
      <c r="P2" s="40" t="s">
        <v>674</v>
      </c>
      <c r="Q2" s="40" t="s">
        <v>685</v>
      </c>
      <c r="R2" s="92"/>
      <c r="S2" s="92"/>
      <c r="T2" s="92"/>
      <c r="U2" s="92"/>
      <c r="V2" s="92"/>
      <c r="W2" s="92"/>
      <c r="X2" s="92"/>
      <c r="Y2" s="92"/>
    </row>
    <row r="3" spans="1:25">
      <c r="A3" s="32" t="s">
        <v>404</v>
      </c>
      <c r="B3" s="32" t="s">
        <v>671</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row>
    <row r="4" spans="1:25" ht="23.45" customHeight="1">
      <c r="A4" s="33" t="s">
        <v>405</v>
      </c>
      <c r="B4" s="183" t="s">
        <v>668</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row>
    <row r="5" spans="1:25" ht="15" customHeight="1">
      <c r="A5" s="33" t="s">
        <v>406</v>
      </c>
      <c r="B5" s="183" t="s">
        <v>407</v>
      </c>
      <c r="C5" s="38">
        <v>3356</v>
      </c>
      <c r="D5" s="38">
        <v>697</v>
      </c>
      <c r="E5" s="38">
        <v>2583</v>
      </c>
      <c r="F5" s="38">
        <v>-2371</v>
      </c>
      <c r="G5" s="38" t="s">
        <v>554</v>
      </c>
      <c r="H5" s="38" t="s">
        <v>554</v>
      </c>
      <c r="I5" s="38" t="s">
        <v>554</v>
      </c>
      <c r="J5" s="38" t="s">
        <v>554</v>
      </c>
      <c r="K5" s="42" t="s">
        <v>554</v>
      </c>
      <c r="L5" s="42" t="s">
        <v>554</v>
      </c>
      <c r="M5" s="42" t="s">
        <v>554</v>
      </c>
      <c r="N5" s="42">
        <v>0</v>
      </c>
      <c r="O5" s="42">
        <v>0</v>
      </c>
      <c r="P5" s="42">
        <v>0</v>
      </c>
      <c r="Q5" s="42">
        <v>0</v>
      </c>
    </row>
    <row r="6" spans="1:25">
      <c r="A6" s="33" t="s">
        <v>408</v>
      </c>
      <c r="B6" s="183" t="s">
        <v>409</v>
      </c>
      <c r="C6" s="38">
        <v>519</v>
      </c>
      <c r="D6" s="38">
        <v>-4292</v>
      </c>
      <c r="E6" s="38">
        <v>-907</v>
      </c>
      <c r="F6" s="38">
        <v>-1324</v>
      </c>
      <c r="G6" s="38" t="s">
        <v>554</v>
      </c>
      <c r="H6" s="38" t="s">
        <v>554</v>
      </c>
      <c r="I6" s="38" t="s">
        <v>554</v>
      </c>
      <c r="J6" s="38" t="s">
        <v>554</v>
      </c>
      <c r="K6" s="42" t="s">
        <v>554</v>
      </c>
      <c r="L6" s="42" t="s">
        <v>554</v>
      </c>
      <c r="M6" s="42" t="s">
        <v>554</v>
      </c>
      <c r="N6" s="42">
        <v>0</v>
      </c>
      <c r="O6" s="42">
        <v>0</v>
      </c>
      <c r="P6" s="42">
        <v>0</v>
      </c>
      <c r="Q6" s="42">
        <v>0</v>
      </c>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42">
        <v>3422</v>
      </c>
      <c r="Q7" s="42">
        <v>-1696</v>
      </c>
    </row>
    <row r="8" spans="1:25" ht="30" customHeight="1">
      <c r="A8" s="33" t="s">
        <v>412</v>
      </c>
      <c r="B8" s="33" t="s">
        <v>655</v>
      </c>
      <c r="C8" s="38">
        <v>0</v>
      </c>
      <c r="D8" s="38">
        <v>0</v>
      </c>
      <c r="E8" s="38">
        <v>0</v>
      </c>
      <c r="F8" s="38">
        <v>0</v>
      </c>
      <c r="G8" s="38">
        <v>394</v>
      </c>
      <c r="H8" s="38">
        <v>11114</v>
      </c>
      <c r="I8" s="38">
        <v>10443</v>
      </c>
      <c r="J8" s="38">
        <v>480</v>
      </c>
      <c r="K8" s="42">
        <v>-17521</v>
      </c>
      <c r="L8" s="42">
        <v>-3039</v>
      </c>
      <c r="M8" s="42">
        <v>1898</v>
      </c>
      <c r="N8" s="42">
        <v>-499</v>
      </c>
      <c r="O8" s="42">
        <v>-1064</v>
      </c>
      <c r="P8" s="42">
        <v>15481</v>
      </c>
      <c r="Q8" s="42">
        <v>3913</v>
      </c>
    </row>
    <row r="9" spans="1:25" ht="30" customHeight="1">
      <c r="A9" s="33" t="s">
        <v>413</v>
      </c>
      <c r="B9" s="33" t="s">
        <v>656</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row>
  </sheetData>
  <customSheetViews>
    <customSheetView guid="{8FDDB7D7-275F-4F23-B770-BAF5AFA4F358}">
      <pane xSplit="2" ySplit="2" topLeftCell="C3" activePane="bottomRight" state="frozen"/>
      <selection pane="bottomRight" activeCell="C3" sqref="C3"/>
      <pageMargins left="0.7" right="0.7" top="0.75" bottom="0.75" header="0.3" footer="0.3"/>
    </customSheetView>
    <customSheetView guid="{12F8D032-8143-430B-8DFF-852E8796C402}">
      <selection activeCell="B18" sqref="B18"/>
      <pageMargins left="0.7" right="0.7" top="0.75" bottom="0.75" header="0.3" footer="0.3"/>
    </customSheetView>
    <customSheetView guid="{687A4863-1825-4D63-B732-E76682E6DE4F}" scale="108" topLeftCell="H1">
      <selection activeCell="M12" sqref="M12"/>
      <pageMargins left="0.7" right="0.7" top="0.75" bottom="0.75" header="0.3" footer="0.3"/>
    </customSheetView>
    <customSheetView guid="{57267270-6A97-4850-9DB6-FE6B399379AA}">
      <selection activeCell="L9" sqref="L9"/>
      <pageMargins left="0.7" right="0.7" top="0.75" bottom="0.75" header="0.3" footer="0.3"/>
    </customSheetView>
    <customSheetView guid="{8DA78CF1-615A-4626-9893-6751995631A4}" scale="82">
      <selection activeCell="E14" sqref="E14"/>
      <pageMargins left="0.7" right="0.7" top="0.75" bottom="0.75" header="0.3" footer="0.3"/>
    </customSheetView>
    <customSheetView guid="{25FAB884-5E17-4008-8139-33D910C7DEFE}">
      <selection activeCell="I23" sqref="I23"/>
      <pageMargins left="0.7" right="0.7" top="0.75" bottom="0.75" header="0.3" footer="0.3"/>
    </customSheetView>
    <customSheetView guid="{899D69CD-4B7E-42BC-9944-5BD922EB798C}">
      <selection activeCell="M10" sqref="M10"/>
      <pageMargins left="0.7" right="0.7" top="0.75" bottom="0.75" header="0.3" footer="0.3"/>
    </customSheetView>
    <customSheetView guid="{9AF4A83C-CF57-4B40-8A74-6A0EA6C2FE5C}" hiddenColumns="1" topLeftCell="B1">
      <selection activeCell="M15" sqref="M15"/>
      <pageMargins left="0.7" right="0.7" top="0.75" bottom="0.75" header="0.3" footer="0.3"/>
    </customSheetView>
    <customSheetView guid="{746490BF-9C44-4B41-8803-BEC9E453576A}">
      <pane xSplit="2" ySplit="2" topLeftCell="C3" activePane="bottomRight" state="frozen"/>
      <selection pane="bottomRight" activeCell="C3" sqref="C3"/>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5" t="s">
        <v>94</v>
      </c>
      <c r="B1" s="185" t="s">
        <v>7</v>
      </c>
      <c r="C1" s="36" t="s">
        <v>189</v>
      </c>
      <c r="D1" s="36" t="s">
        <v>190</v>
      </c>
      <c r="E1" s="36" t="s">
        <v>191</v>
      </c>
      <c r="F1" s="36" t="s">
        <v>192</v>
      </c>
      <c r="G1" s="36" t="s">
        <v>193</v>
      </c>
      <c r="H1" s="36" t="s">
        <v>194</v>
      </c>
      <c r="I1" s="36" t="s">
        <v>195</v>
      </c>
      <c r="J1" s="36" t="s">
        <v>196</v>
      </c>
      <c r="K1" s="40" t="s">
        <v>197</v>
      </c>
      <c r="L1" s="249" t="s">
        <v>198</v>
      </c>
      <c r="M1" s="249" t="s">
        <v>623</v>
      </c>
      <c r="N1" s="249" t="s">
        <v>632</v>
      </c>
      <c r="O1" s="249" t="s">
        <v>670</v>
      </c>
      <c r="P1" s="249" t="s">
        <v>674</v>
      </c>
      <c r="Q1" s="249" t="s">
        <v>685</v>
      </c>
      <c r="R1" s="92"/>
      <c r="S1" s="92"/>
      <c r="T1" s="92"/>
      <c r="U1" s="92"/>
      <c r="V1" s="92"/>
      <c r="W1" s="92"/>
    </row>
    <row r="2" spans="1:23" ht="38.25">
      <c r="A2" s="33" t="s">
        <v>540</v>
      </c>
      <c r="B2" s="33" t="s">
        <v>658</v>
      </c>
      <c r="C2" s="37">
        <v>0</v>
      </c>
      <c r="D2" s="37">
        <v>0</v>
      </c>
      <c r="E2" s="37">
        <v>0</v>
      </c>
      <c r="F2" s="37">
        <v>0</v>
      </c>
      <c r="G2" s="38">
        <v>210</v>
      </c>
      <c r="H2" s="38">
        <v>7498</v>
      </c>
      <c r="I2" s="38">
        <v>13897</v>
      </c>
      <c r="J2" s="38">
        <v>6722</v>
      </c>
      <c r="K2" s="38">
        <v>8486</v>
      </c>
      <c r="L2" s="250">
        <v>40500</v>
      </c>
      <c r="M2" s="250">
        <v>37508</v>
      </c>
      <c r="N2" s="250">
        <v>38179</v>
      </c>
      <c r="O2" s="250">
        <v>51976</v>
      </c>
      <c r="P2" s="250">
        <v>8500</v>
      </c>
      <c r="Q2" s="250">
        <v>109596</v>
      </c>
    </row>
    <row r="3" spans="1:23" ht="38.25">
      <c r="A3" s="183" t="s">
        <v>541</v>
      </c>
      <c r="B3" s="183" t="s">
        <v>657</v>
      </c>
      <c r="C3" s="38">
        <v>0</v>
      </c>
      <c r="D3" s="38">
        <v>0</v>
      </c>
      <c r="E3" s="38">
        <v>0</v>
      </c>
      <c r="F3" s="38">
        <v>0</v>
      </c>
      <c r="G3" s="38">
        <v>-4</v>
      </c>
      <c r="H3" s="38">
        <v>3</v>
      </c>
      <c r="I3" s="38">
        <v>-23</v>
      </c>
      <c r="J3" s="38">
        <v>0</v>
      </c>
      <c r="K3" s="38">
        <v>0</v>
      </c>
      <c r="L3" s="250">
        <v>-8</v>
      </c>
      <c r="M3" s="250">
        <v>26</v>
      </c>
      <c r="N3" s="250">
        <v>0</v>
      </c>
      <c r="O3" s="250">
        <v>-5</v>
      </c>
      <c r="P3" s="250">
        <v>-80</v>
      </c>
      <c r="Q3" s="250">
        <v>0</v>
      </c>
    </row>
    <row r="4" spans="1:23" ht="38.25">
      <c r="A4" s="183" t="s">
        <v>686</v>
      </c>
      <c r="B4" s="183" t="s">
        <v>687</v>
      </c>
      <c r="C4" s="38">
        <v>0</v>
      </c>
      <c r="D4" s="38">
        <v>0</v>
      </c>
      <c r="E4" s="38">
        <v>0</v>
      </c>
      <c r="F4" s="38">
        <v>0</v>
      </c>
      <c r="G4" s="38">
        <v>4118</v>
      </c>
      <c r="H4" s="38">
        <v>10713</v>
      </c>
      <c r="I4" s="38">
        <v>14988</v>
      </c>
      <c r="J4" s="38">
        <v>-17476</v>
      </c>
      <c r="K4" s="38">
        <v>24673</v>
      </c>
      <c r="L4" s="250">
        <v>17618</v>
      </c>
      <c r="M4" s="250">
        <v>-1927</v>
      </c>
      <c r="N4" s="250">
        <v>16594</v>
      </c>
      <c r="O4" s="250">
        <v>-29930</v>
      </c>
      <c r="P4" s="250">
        <v>33205</v>
      </c>
      <c r="Q4" s="250">
        <v>11755</v>
      </c>
    </row>
    <row r="5" spans="1:23" ht="25.5">
      <c r="A5" s="183" t="s">
        <v>550</v>
      </c>
      <c r="B5" s="183" t="s">
        <v>552</v>
      </c>
      <c r="C5" s="198">
        <v>10775</v>
      </c>
      <c r="D5" s="198">
        <v>0</v>
      </c>
      <c r="E5" s="198">
        <v>1866</v>
      </c>
      <c r="F5" s="198">
        <v>13823</v>
      </c>
      <c r="G5" s="38">
        <v>0</v>
      </c>
      <c r="H5" s="38">
        <v>0</v>
      </c>
      <c r="I5" s="38">
        <v>0</v>
      </c>
      <c r="J5" s="38">
        <v>0</v>
      </c>
      <c r="K5" s="38">
        <v>0</v>
      </c>
      <c r="L5" s="250">
        <v>0</v>
      </c>
      <c r="M5" s="250">
        <v>0</v>
      </c>
      <c r="N5" s="250">
        <v>0</v>
      </c>
      <c r="O5" s="250">
        <v>0</v>
      </c>
      <c r="P5" s="250">
        <v>0</v>
      </c>
      <c r="Q5" s="250">
        <v>0</v>
      </c>
    </row>
    <row r="6" spans="1:23" ht="25.5">
      <c r="A6" s="183" t="s">
        <v>551</v>
      </c>
      <c r="B6" s="183" t="s">
        <v>553</v>
      </c>
      <c r="C6" s="198">
        <v>5503</v>
      </c>
      <c r="D6" s="198">
        <v>9700</v>
      </c>
      <c r="E6" s="198">
        <v>3503</v>
      </c>
      <c r="F6" s="198">
        <v>2116</v>
      </c>
      <c r="G6" s="38">
        <v>0</v>
      </c>
      <c r="H6" s="38">
        <v>0</v>
      </c>
      <c r="I6" s="38">
        <v>0</v>
      </c>
      <c r="J6" s="38">
        <v>0</v>
      </c>
      <c r="K6" s="38">
        <v>0</v>
      </c>
      <c r="L6" s="250">
        <v>0</v>
      </c>
      <c r="M6" s="250">
        <v>0</v>
      </c>
      <c r="N6" s="250">
        <v>0</v>
      </c>
      <c r="O6" s="250">
        <v>0</v>
      </c>
      <c r="P6" s="250">
        <v>0</v>
      </c>
      <c r="Q6" s="250">
        <v>0</v>
      </c>
    </row>
    <row r="7" spans="1:23" ht="15" customHeight="1">
      <c r="A7" s="183" t="s">
        <v>633</v>
      </c>
      <c r="B7" s="183" t="s">
        <v>634</v>
      </c>
      <c r="C7" s="198">
        <v>0</v>
      </c>
      <c r="D7" s="198"/>
      <c r="E7" s="198">
        <v>-461</v>
      </c>
      <c r="F7" s="198">
        <v>0</v>
      </c>
      <c r="G7" s="38">
        <v>0</v>
      </c>
      <c r="H7" s="38">
        <v>0</v>
      </c>
      <c r="I7" s="38">
        <v>0</v>
      </c>
      <c r="J7" s="38">
        <v>0</v>
      </c>
      <c r="K7" s="38">
        <v>0</v>
      </c>
      <c r="L7" s="250">
        <v>0</v>
      </c>
      <c r="M7" s="250">
        <v>0</v>
      </c>
      <c r="N7" s="250">
        <v>-11244</v>
      </c>
      <c r="O7" s="250">
        <v>0</v>
      </c>
      <c r="P7" s="250">
        <v>-8535</v>
      </c>
      <c r="Q7" s="250">
        <v>0</v>
      </c>
    </row>
    <row r="8" spans="1:23" ht="15" customHeight="1">
      <c r="A8" s="59" t="s">
        <v>542</v>
      </c>
      <c r="B8" s="59" t="s">
        <v>546</v>
      </c>
      <c r="C8" s="197">
        <f t="shared" ref="C8:L8" si="0">SUM(C2:C7)</f>
        <v>16278</v>
      </c>
      <c r="D8" s="197">
        <f t="shared" si="0"/>
        <v>9700</v>
      </c>
      <c r="E8" s="197">
        <f t="shared" si="0"/>
        <v>4908</v>
      </c>
      <c r="F8" s="197">
        <f t="shared" si="0"/>
        <v>15939</v>
      </c>
      <c r="G8" s="63">
        <f t="shared" si="0"/>
        <v>4324</v>
      </c>
      <c r="H8" s="63">
        <f t="shared" si="0"/>
        <v>18214</v>
      </c>
      <c r="I8" s="63">
        <f t="shared" si="0"/>
        <v>28862</v>
      </c>
      <c r="J8" s="63">
        <f t="shared" si="0"/>
        <v>-10754</v>
      </c>
      <c r="K8" s="63">
        <f t="shared" si="0"/>
        <v>33159</v>
      </c>
      <c r="L8" s="251">
        <f t="shared" si="0"/>
        <v>58110</v>
      </c>
      <c r="M8" s="251">
        <f>SUM(M2:M7)</f>
        <v>35607</v>
      </c>
      <c r="N8" s="251">
        <f>SUM(N2:N7)</f>
        <v>43529</v>
      </c>
      <c r="O8" s="251">
        <f>SUM(O2:O7)</f>
        <v>22041</v>
      </c>
      <c r="P8" s="251">
        <f>SUM(P2:P7)</f>
        <v>33090</v>
      </c>
      <c r="Q8" s="251">
        <f>SUM(Q2:Q7)</f>
        <v>121351</v>
      </c>
    </row>
    <row r="9" spans="1:23" ht="15" customHeight="1">
      <c r="A9" s="33" t="s">
        <v>543</v>
      </c>
      <c r="B9" s="33" t="s">
        <v>547</v>
      </c>
      <c r="C9" s="195">
        <v>2789</v>
      </c>
      <c r="D9" s="195">
        <v>2898</v>
      </c>
      <c r="E9" s="195">
        <v>10806</v>
      </c>
      <c r="F9" s="195">
        <v>7267</v>
      </c>
      <c r="G9" s="38">
        <v>-9332</v>
      </c>
      <c r="H9" s="38">
        <v>6939</v>
      </c>
      <c r="I9" s="38">
        <v>8220</v>
      </c>
      <c r="J9" s="38">
        <v>-22389</v>
      </c>
      <c r="K9" s="38">
        <v>-4108</v>
      </c>
      <c r="L9" s="250">
        <v>-7809</v>
      </c>
      <c r="M9" s="250">
        <v>-46668</v>
      </c>
      <c r="N9" s="250">
        <v>50910</v>
      </c>
      <c r="O9" s="250">
        <v>-179604</v>
      </c>
      <c r="P9" s="250">
        <v>-49322</v>
      </c>
      <c r="Q9" s="250">
        <v>22906</v>
      </c>
    </row>
    <row r="10" spans="1:23" ht="15" customHeight="1">
      <c r="A10" s="33" t="s">
        <v>544</v>
      </c>
      <c r="B10" s="33" t="s">
        <v>548</v>
      </c>
      <c r="C10" s="195">
        <v>-1890</v>
      </c>
      <c r="D10" s="195">
        <v>-1828</v>
      </c>
      <c r="E10" s="195">
        <v>-11752</v>
      </c>
      <c r="F10" s="195">
        <v>-7613</v>
      </c>
      <c r="G10" s="38">
        <v>8935</v>
      </c>
      <c r="H10" s="38">
        <v>-8253</v>
      </c>
      <c r="I10" s="38">
        <v>-7633</v>
      </c>
      <c r="J10" s="38">
        <v>20347</v>
      </c>
      <c r="K10" s="38">
        <v>3804</v>
      </c>
      <c r="L10" s="250">
        <v>11595</v>
      </c>
      <c r="M10" s="250">
        <v>53402</v>
      </c>
      <c r="N10" s="250">
        <v>-46056</v>
      </c>
      <c r="O10" s="250">
        <v>184049</v>
      </c>
      <c r="P10" s="250">
        <v>43288</v>
      </c>
      <c r="Q10" s="250">
        <v>-16155</v>
      </c>
    </row>
    <row r="11" spans="1:23" ht="25.5">
      <c r="A11" s="184" t="s">
        <v>545</v>
      </c>
      <c r="B11" s="184" t="s">
        <v>549</v>
      </c>
      <c r="C11" s="196">
        <f t="shared" ref="C11:H11" si="1">SUM(C9:C10)</f>
        <v>899</v>
      </c>
      <c r="D11" s="196">
        <f t="shared" si="1"/>
        <v>1070</v>
      </c>
      <c r="E11" s="196">
        <f t="shared" si="1"/>
        <v>-946</v>
      </c>
      <c r="F11" s="196">
        <f t="shared" si="1"/>
        <v>-346</v>
      </c>
      <c r="G11" s="186">
        <f t="shared" si="1"/>
        <v>-397</v>
      </c>
      <c r="H11" s="186">
        <f t="shared" si="1"/>
        <v>-1314</v>
      </c>
      <c r="I11" s="186">
        <f t="shared" ref="I11:O11" si="2">SUM(I9:I10)</f>
        <v>587</v>
      </c>
      <c r="J11" s="186">
        <f t="shared" si="2"/>
        <v>-2042</v>
      </c>
      <c r="K11" s="186">
        <f t="shared" si="2"/>
        <v>-304</v>
      </c>
      <c r="L11" s="186">
        <f t="shared" si="2"/>
        <v>3786</v>
      </c>
      <c r="M11" s="186">
        <f t="shared" si="2"/>
        <v>6734</v>
      </c>
      <c r="N11" s="186">
        <f t="shared" si="2"/>
        <v>4854</v>
      </c>
      <c r="O11" s="186">
        <f t="shared" si="2"/>
        <v>4445</v>
      </c>
      <c r="P11" s="186">
        <f t="shared" ref="P11:Q11" si="3">SUM(P9:P10)</f>
        <v>-6034</v>
      </c>
      <c r="Q11" s="186">
        <f t="shared" si="3"/>
        <v>6751</v>
      </c>
    </row>
    <row r="12" spans="1:23">
      <c r="A12" s="35" t="s">
        <v>58</v>
      </c>
      <c r="B12" s="35" t="s">
        <v>43</v>
      </c>
      <c r="C12" s="194">
        <f t="shared" ref="C12:H12" si="4">C8+C11</f>
        <v>17177</v>
      </c>
      <c r="D12" s="194">
        <f t="shared" si="4"/>
        <v>10770</v>
      </c>
      <c r="E12" s="194">
        <f t="shared" si="4"/>
        <v>3962</v>
      </c>
      <c r="F12" s="194">
        <f t="shared" si="4"/>
        <v>15593</v>
      </c>
      <c r="G12" s="39">
        <f t="shared" si="4"/>
        <v>3927</v>
      </c>
      <c r="H12" s="39">
        <f t="shared" si="4"/>
        <v>16900</v>
      </c>
      <c r="I12" s="39">
        <f t="shared" ref="I12:O12" si="5">I8+I11</f>
        <v>29449</v>
      </c>
      <c r="J12" s="39">
        <f t="shared" si="5"/>
        <v>-12796</v>
      </c>
      <c r="K12" s="39">
        <f t="shared" si="5"/>
        <v>32855</v>
      </c>
      <c r="L12" s="252">
        <f t="shared" si="5"/>
        <v>61896</v>
      </c>
      <c r="M12" s="252">
        <f t="shared" si="5"/>
        <v>42341</v>
      </c>
      <c r="N12" s="252">
        <f t="shared" si="5"/>
        <v>48383</v>
      </c>
      <c r="O12" s="252">
        <f t="shared" si="5"/>
        <v>26486</v>
      </c>
      <c r="P12" s="252">
        <f t="shared" ref="P12:Q12" si="6">P8+P11</f>
        <v>27056</v>
      </c>
      <c r="Q12" s="252">
        <f t="shared" si="6"/>
        <v>128102</v>
      </c>
    </row>
    <row r="13" spans="1:23">
      <c r="A13" s="187"/>
      <c r="B13" s="187"/>
      <c r="C13" s="245">
        <f>C12-'P&amp;L'!C13</f>
        <v>0</v>
      </c>
      <c r="D13" s="245">
        <f>D12-'P&amp;L'!D13</f>
        <v>0</v>
      </c>
      <c r="E13" s="245">
        <f>E12-'P&amp;L'!E13</f>
        <v>0</v>
      </c>
      <c r="F13" s="245">
        <f>F12-'P&amp;L'!F13</f>
        <v>0</v>
      </c>
      <c r="G13" s="245">
        <f>G12-'P&amp;L'!G13</f>
        <v>0</v>
      </c>
      <c r="H13" s="245">
        <f>H12-'P&amp;L'!H13</f>
        <v>0</v>
      </c>
      <c r="I13" s="245">
        <f>I12-'P&amp;L'!I13</f>
        <v>0</v>
      </c>
      <c r="J13" s="245">
        <f>J12-'P&amp;L'!J13</f>
        <v>0</v>
      </c>
      <c r="K13" s="245">
        <f>K12-'P&amp;L'!K13</f>
        <v>0</v>
      </c>
      <c r="L13" s="245">
        <f>L12-'P&amp;L'!L13</f>
        <v>0</v>
      </c>
      <c r="M13" s="245">
        <f>M12-'P&amp;L'!M13</f>
        <v>0</v>
      </c>
      <c r="N13" s="245">
        <f>N12-'P&amp;L'!N13</f>
        <v>0</v>
      </c>
      <c r="O13" s="190">
        <f>'P&amp;L'!O13-O12</f>
        <v>0</v>
      </c>
      <c r="P13" s="190">
        <f>'P&amp;L'!P13-P12</f>
        <v>0</v>
      </c>
      <c r="Q13" s="190">
        <f>'P&amp;L'!Q13-Q12</f>
        <v>0</v>
      </c>
    </row>
    <row r="14" spans="1:23">
      <c r="A14" s="187"/>
      <c r="B14" s="187"/>
      <c r="G14" s="188"/>
      <c r="H14" s="188"/>
      <c r="I14" s="188"/>
      <c r="J14" s="188"/>
      <c r="K14" s="188"/>
      <c r="P14" s="189"/>
      <c r="Q14" s="189"/>
    </row>
    <row r="15" spans="1:23">
      <c r="D15" s="91"/>
      <c r="E15" s="91"/>
      <c r="F15" s="91"/>
      <c r="G15" s="91"/>
      <c r="H15" s="91"/>
      <c r="I15" s="91"/>
      <c r="J15" s="91"/>
      <c r="K15" s="91"/>
    </row>
    <row r="16" spans="1:23">
      <c r="D16" s="91"/>
      <c r="E16" s="91"/>
      <c r="F16" s="91"/>
      <c r="G16" s="91"/>
      <c r="H16" s="91"/>
      <c r="I16" s="91"/>
      <c r="J16" s="91"/>
      <c r="K16" s="91"/>
    </row>
    <row r="17" spans="7:7">
      <c r="G17" s="278"/>
    </row>
    <row r="18" spans="7:7">
      <c r="G18" s="278"/>
    </row>
    <row r="19" spans="7:7">
      <c r="G19" s="278"/>
    </row>
    <row r="20" spans="7:7">
      <c r="G20" s="278"/>
    </row>
    <row r="21" spans="7:7">
      <c r="G21" s="278"/>
    </row>
    <row r="22" spans="7:7">
      <c r="G22" s="278"/>
    </row>
    <row r="23" spans="7:7">
      <c r="G23" s="278"/>
    </row>
    <row r="24" spans="7:7">
      <c r="G24" s="278"/>
    </row>
    <row r="25" spans="7:7">
      <c r="G25" s="278"/>
    </row>
    <row r="26" spans="7:7">
      <c r="G26" s="278"/>
    </row>
    <row r="27" spans="7:7">
      <c r="G27" s="278"/>
    </row>
    <row r="28" spans="7:7">
      <c r="G28" s="278"/>
    </row>
    <row r="29" spans="7:7">
      <c r="G29" s="278"/>
    </row>
    <row r="30" spans="7:7">
      <c r="G30" s="278"/>
    </row>
    <row r="31" spans="7:7">
      <c r="G31" s="278"/>
    </row>
    <row r="32" spans="7:7">
      <c r="G32" s="278"/>
    </row>
    <row r="33" spans="7:7">
      <c r="G33" s="278"/>
    </row>
    <row r="34" spans="7:7">
      <c r="G34" s="278"/>
    </row>
    <row r="35" spans="7:7">
      <c r="G35" s="278"/>
    </row>
    <row r="36" spans="7:7">
      <c r="G36" s="278"/>
    </row>
    <row r="37" spans="7:7">
      <c r="G37" s="278">
        <f>G22+H22+I22</f>
        <v>0</v>
      </c>
    </row>
    <row r="38" spans="7:7">
      <c r="G38" s="278">
        <f>G23+H23+I23</f>
        <v>0</v>
      </c>
    </row>
  </sheetData>
  <customSheetViews>
    <customSheetView guid="{8FDDB7D7-275F-4F23-B770-BAF5AFA4F358}">
      <pane xSplit="2" ySplit="1" topLeftCell="C2" activePane="bottomRight" state="frozen"/>
      <selection pane="bottomRight" activeCell="C2" sqref="C2"/>
      <pageMargins left="0.7" right="0.7" top="0.75" bottom="0.75" header="0.3" footer="0.3"/>
    </customSheetView>
    <customSheetView guid="{12F8D032-8143-430B-8DFF-852E8796C402}">
      <selection activeCell="A6" sqref="A6:XFD6"/>
      <pageMargins left="0.7" right="0.7" top="0.75" bottom="0.75" header="0.3" footer="0.3"/>
    </customSheetView>
    <customSheetView guid="{687A4863-1825-4D63-B732-E76682E6DE4F}" scale="52">
      <selection activeCell="E20" sqref="E20"/>
      <pageMargins left="0.7" right="0.7" top="0.75" bottom="0.75" header="0.3" footer="0.3"/>
    </customSheetView>
    <customSheetView guid="{57267270-6A97-4850-9DB6-FE6B399379AA}" topLeftCell="F1">
      <selection activeCell="P8" sqref="P8"/>
      <pageMargins left="0.7" right="0.7" top="0.75" bottom="0.75" header="0.3" footer="0.3"/>
    </customSheetView>
    <customSheetView guid="{8DA78CF1-615A-4626-9893-6751995631A4}" scale="52">
      <selection activeCell="E20" sqref="E20"/>
      <pageMargins left="0.7" right="0.7" top="0.75" bottom="0.75" header="0.3" footer="0.3"/>
    </customSheetView>
    <customSheetView guid="{25FAB884-5E17-4008-8139-33D910C7DEFE}">
      <selection activeCell="S10" sqref="S10"/>
      <pageMargins left="0.7" right="0.7" top="0.75" bottom="0.75" header="0.3" footer="0.3"/>
      <pageSetup paperSize="9" orientation="portrait" horizontalDpi="1200" verticalDpi="1200" r:id="rId1"/>
    </customSheetView>
    <customSheetView guid="{899D69CD-4B7E-42BC-9944-5BD922EB798C}" topLeftCell="G1">
      <selection activeCell="O1" sqref="O1:O1048576"/>
      <pageMargins left="0.7" right="0.7" top="0.75" bottom="0.75" header="0.3" footer="0.3"/>
    </customSheetView>
    <customSheetView guid="{9AF4A83C-CF57-4B40-8A74-6A0EA6C2FE5C}" hiddenColumns="1">
      <selection activeCell="Q21" sqref="Q21"/>
      <pageMargins left="0.7" right="0.7" top="0.75" bottom="0.75" header="0.3" footer="0.3"/>
    </customSheetView>
    <customSheetView guid="{746490BF-9C44-4B41-8803-BEC9E453576A}">
      <pane xSplit="2" ySplit="1" topLeftCell="C2" activePane="bottomRight" state="frozen"/>
      <selection pane="bottomRight" activeCell="C2" sqref="C2"/>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showGridLines="0" topLeftCell="B1" workbookViewId="0">
      <pane xSplit="1" ySplit="2" topLeftCell="C3" activePane="bottomRight" state="frozen"/>
      <selection activeCell="B1" sqref="B1"/>
      <selection pane="topRight" activeCell="C1" sqref="C1"/>
      <selection pane="bottomLeft" activeCell="B3" sqref="B3"/>
      <selection pane="bottomRight" activeCell="C3" sqref="C3"/>
    </sheetView>
  </sheetViews>
  <sheetFormatPr defaultColWidth="9.140625" defaultRowHeight="15"/>
  <cols>
    <col min="1" max="2" width="50.85546875" style="19" customWidth="1"/>
    <col min="3" max="10" width="13.42578125" style="19" customWidth="1"/>
    <col min="11" max="17" width="13.42578125" style="93" customWidth="1"/>
    <col min="18" max="16384" width="9.140625" style="19"/>
  </cols>
  <sheetData>
    <row r="2" spans="1:17" ht="15.75" thickBot="1">
      <c r="A2" s="44" t="s">
        <v>283</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c r="Q2" s="205">
        <v>44104</v>
      </c>
    </row>
    <row r="3" spans="1:17" ht="15" customHeight="1">
      <c r="A3" s="45" t="s">
        <v>245</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c r="P3" s="49">
        <v>57379919</v>
      </c>
      <c r="Q3" s="49">
        <v>56436827</v>
      </c>
    </row>
    <row r="4" spans="1:17"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row>
    <row r="5" spans="1:17" ht="15" customHeight="1">
      <c r="A5" s="46" t="s">
        <v>284</v>
      </c>
      <c r="B5" s="326"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row>
    <row r="6" spans="1:17"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row>
    <row r="7" spans="1:17"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row>
    <row r="8" spans="1:17" ht="17.45" customHeight="1">
      <c r="A8" s="45" t="s">
        <v>313</v>
      </c>
      <c r="B8" s="45" t="s">
        <v>312</v>
      </c>
      <c r="C8" s="49">
        <v>0</v>
      </c>
      <c r="D8" s="49">
        <v>0</v>
      </c>
      <c r="E8" s="49">
        <v>0</v>
      </c>
      <c r="F8" s="49">
        <v>0</v>
      </c>
      <c r="G8" s="49">
        <v>0</v>
      </c>
      <c r="H8" s="49">
        <v>0</v>
      </c>
      <c r="I8" s="49">
        <v>0</v>
      </c>
      <c r="J8" s="49">
        <v>0</v>
      </c>
      <c r="K8" s="49">
        <v>0</v>
      </c>
      <c r="L8" s="49">
        <v>0</v>
      </c>
      <c r="M8" s="49">
        <v>0</v>
      </c>
      <c r="N8" s="49">
        <v>0</v>
      </c>
      <c r="O8" s="49">
        <v>0</v>
      </c>
      <c r="P8" s="49">
        <v>0</v>
      </c>
      <c r="Q8" s="49">
        <v>0</v>
      </c>
    </row>
    <row r="9" spans="1:17"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row>
    <row r="10" spans="1:17" ht="15" customHeight="1">
      <c r="A10" s="47" t="s">
        <v>288</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M3+M4+M6+M7+M9</f>
        <v>148942734</v>
      </c>
      <c r="N10" s="50">
        <f>N3+N4+N6+N7+N9</f>
        <v>148646993</v>
      </c>
      <c r="O10" s="50">
        <f>O3+O4+O6+O7+O9</f>
        <v>153236468</v>
      </c>
      <c r="P10" s="50">
        <f>P3+P4+P6+P7+P9</f>
        <v>148516154</v>
      </c>
      <c r="Q10" s="50">
        <f>Q3+Q4+Q6+Q7+Q9</f>
        <v>148183595</v>
      </c>
    </row>
    <row r="11" spans="1:17" ht="15" customHeight="1">
      <c r="A11" s="45" t="s">
        <v>289</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c r="P11" s="49">
        <v>-5894019</v>
      </c>
      <c r="Q11" s="49">
        <v>-6132157</v>
      </c>
    </row>
    <row r="12" spans="1:17">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M10+M11</f>
        <v>143825386</v>
      </c>
      <c r="N12" s="51">
        <f>N10+N11</f>
        <v>143402629</v>
      </c>
      <c r="O12" s="51">
        <f>O10+O11</f>
        <v>147672910</v>
      </c>
      <c r="P12" s="51">
        <f>P10+P11</f>
        <v>142622135</v>
      </c>
      <c r="Q12" s="51">
        <f>Q10+Q11</f>
        <v>142051438</v>
      </c>
    </row>
    <row r="14" spans="1:17" ht="10.5" customHeight="1"/>
    <row r="15" spans="1:17" ht="11.1" customHeight="1"/>
    <row r="19" spans="11:17" s="286" customFormat="1">
      <c r="K19" s="285"/>
      <c r="L19" s="285"/>
      <c r="M19" s="285"/>
      <c r="N19" s="285"/>
      <c r="O19" s="285"/>
      <c r="P19" s="285"/>
      <c r="Q19" s="285"/>
    </row>
    <row r="23" spans="11:17" ht="10.5" customHeight="1"/>
  </sheetData>
  <customSheetViews>
    <customSheetView guid="{8FDDB7D7-275F-4F23-B770-BAF5AFA4F358}" showGridLines="0" topLeftCell="B1">
      <pane xSplit="1" ySplit="2" topLeftCell="C3" activePane="bottomRight" state="frozen"/>
      <selection pane="bottomRight" activeCell="C3" sqref="C3"/>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57267270-6A97-4850-9DB6-FE6B399379AA}">
      <selection activeCell="A15" sqref="A15"/>
      <pageMargins left="0.7" right="0.7" top="0.75" bottom="0.75" header="0.3" footer="0.3"/>
    </customSheetView>
    <customSheetView guid="{8DA78CF1-615A-4626-9893-6751995631A4}" showGridLines="0" topLeftCell="G1">
      <selection activeCell="O17" sqref="O17"/>
      <pageMargins left="0.7" right="0.7" top="0.75" bottom="0.75" header="0.3" footer="0.3"/>
    </customSheetView>
    <customSheetView guid="{25FAB884-5E17-4008-8139-33D910C7DEFE}">
      <selection activeCell="G13" sqref="G13"/>
      <pageMargins left="0.7" right="0.7" top="0.75" bottom="0.75" header="0.3" footer="0.3"/>
    </customSheetView>
    <customSheetView guid="{899D69CD-4B7E-42BC-9944-5BD922EB798C}" hiddenRows="1">
      <pane xSplit="2" ySplit="2" topLeftCell="N3" activePane="bottomRight" state="frozen"/>
      <selection pane="bottomRight" activeCell="Q20" sqref="Q20"/>
      <pageMargins left="0.7" right="0.7" top="0.75" bottom="0.75" header="0.3" footer="0.3"/>
    </customSheetView>
    <customSheetView guid="{9AF4A83C-CF57-4B40-8A74-6A0EA6C2FE5C}" topLeftCell="C1">
      <selection activeCell="R17" sqref="R17"/>
      <pageMargins left="0.7" right="0.7" top="0.75" bottom="0.75" header="0.3" footer="0.3"/>
    </customSheetView>
    <customSheetView guid="{746490BF-9C44-4B41-8803-BEC9E453576A}" showGridLines="0" topLeftCell="B1">
      <pane xSplit="1" ySplit="2" topLeftCell="C3" activePane="bottomRight" state="frozen"/>
      <selection pane="bottomRight" activeCell="C3" sqref="C3"/>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1" width="68.85546875" customWidth="1"/>
    <col min="2" max="2" width="61.85546875" customWidth="1"/>
    <col min="3" max="5" width="13.42578125" customWidth="1"/>
    <col min="6" max="7" width="13.42578125" style="3" customWidth="1"/>
    <col min="8" max="18" width="13.42578125" customWidth="1"/>
  </cols>
  <sheetData>
    <row r="2" spans="1:18" ht="15.75" thickBot="1">
      <c r="A2" s="55" t="s">
        <v>338</v>
      </c>
      <c r="B2" s="55" t="s">
        <v>260</v>
      </c>
      <c r="C2" s="78">
        <v>42825</v>
      </c>
      <c r="D2" s="78">
        <v>42916</v>
      </c>
      <c r="E2" s="78">
        <v>43008</v>
      </c>
      <c r="F2" s="61">
        <v>43100</v>
      </c>
      <c r="G2" s="61">
        <v>43101</v>
      </c>
      <c r="H2" s="78">
        <v>43190</v>
      </c>
      <c r="I2" s="78">
        <v>43281</v>
      </c>
      <c r="J2" s="78">
        <v>43373</v>
      </c>
      <c r="K2" s="61">
        <v>43465</v>
      </c>
      <c r="L2" s="61">
        <v>43555</v>
      </c>
      <c r="M2" s="253">
        <v>43646</v>
      </c>
      <c r="N2" s="253">
        <v>43738</v>
      </c>
      <c r="O2" s="299">
        <v>43830</v>
      </c>
      <c r="P2" s="299">
        <v>43921</v>
      </c>
      <c r="Q2" s="299">
        <v>44012</v>
      </c>
      <c r="R2" s="299">
        <v>44104</v>
      </c>
    </row>
    <row r="3" spans="1:18"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4">
        <f t="shared" si="0"/>
        <v>37097116</v>
      </c>
      <c r="N3" s="254">
        <f>N5+N8+N10</f>
        <v>36585574</v>
      </c>
      <c r="O3" s="300">
        <f>O5+O8+O10</f>
        <v>40248937</v>
      </c>
      <c r="P3" s="300">
        <f>P5+P8+P10</f>
        <v>40130536</v>
      </c>
      <c r="Q3" s="300">
        <f>Q5+Q8+Q10</f>
        <v>55799648</v>
      </c>
      <c r="R3" s="300">
        <f>R5+R8+R10</f>
        <v>60192017</v>
      </c>
    </row>
    <row r="4" spans="1:18" s="3" customFormat="1" ht="15" customHeight="1">
      <c r="A4" s="56" t="s">
        <v>391</v>
      </c>
      <c r="B4" s="56" t="s">
        <v>392</v>
      </c>
      <c r="C4" s="63">
        <f>C5+C10</f>
        <v>24212430</v>
      </c>
      <c r="D4" s="63">
        <f>D5+D10</f>
        <v>24184070</v>
      </c>
      <c r="E4" s="63">
        <f>E7+E9+E11</f>
        <v>25011794</v>
      </c>
      <c r="F4" s="86">
        <f>F7+F9+F11</f>
        <v>25984209</v>
      </c>
      <c r="G4" s="56"/>
      <c r="H4" s="56"/>
      <c r="I4" s="56"/>
      <c r="J4" s="56"/>
      <c r="K4" s="56"/>
      <c r="L4" s="56"/>
      <c r="M4" s="255"/>
      <c r="N4" s="255"/>
      <c r="O4" s="301"/>
      <c r="P4" s="301"/>
      <c r="Q4" s="301"/>
      <c r="R4" s="301"/>
    </row>
    <row r="5" spans="1:18" ht="15" customHeight="1">
      <c r="A5" s="57" t="s">
        <v>340</v>
      </c>
      <c r="B5" s="57" t="s">
        <v>350</v>
      </c>
      <c r="C5" s="38">
        <f t="shared" ref="C5:M5" si="1">C7+C6</f>
        <v>22182310</v>
      </c>
      <c r="D5" s="38">
        <f t="shared" si="1"/>
        <v>22034197</v>
      </c>
      <c r="E5" s="38">
        <f t="shared" si="1"/>
        <v>21610256</v>
      </c>
      <c r="F5" s="38">
        <f t="shared" si="1"/>
        <v>22514629</v>
      </c>
      <c r="G5" s="38">
        <f t="shared" si="1"/>
        <v>22514629</v>
      </c>
      <c r="H5" s="38">
        <f t="shared" si="1"/>
        <v>24538574</v>
      </c>
      <c r="I5" s="38">
        <f t="shared" si="1"/>
        <v>27154076</v>
      </c>
      <c r="J5" s="38">
        <f t="shared" si="1"/>
        <v>28624667</v>
      </c>
      <c r="K5" s="38">
        <f t="shared" si="1"/>
        <v>29068536</v>
      </c>
      <c r="L5" s="38">
        <f t="shared" si="1"/>
        <v>31777287</v>
      </c>
      <c r="M5" s="250">
        <f t="shared" si="1"/>
        <v>33136741</v>
      </c>
      <c r="N5" s="250">
        <f>N7+N6</f>
        <v>34540831</v>
      </c>
      <c r="O5" s="302">
        <f>O7+O6</f>
        <v>34332625</v>
      </c>
      <c r="P5" s="302">
        <f>P7+P6</f>
        <v>36500147</v>
      </c>
      <c r="Q5" s="302">
        <f>Q7+Q6</f>
        <v>45429189</v>
      </c>
      <c r="R5" s="302">
        <f>R7+R6</f>
        <v>45938077</v>
      </c>
    </row>
    <row r="6" spans="1:18" s="3" customFormat="1" ht="15" customHeight="1">
      <c r="A6" s="85" t="s">
        <v>343</v>
      </c>
      <c r="B6" s="85" t="s">
        <v>353</v>
      </c>
      <c r="C6" s="38">
        <v>292894</v>
      </c>
      <c r="D6" s="38">
        <v>293619</v>
      </c>
      <c r="E6" s="38">
        <v>0</v>
      </c>
      <c r="F6" s="38">
        <v>0</v>
      </c>
      <c r="G6" s="38">
        <v>0</v>
      </c>
      <c r="H6" s="38">
        <v>0</v>
      </c>
      <c r="I6" s="38">
        <v>0</v>
      </c>
      <c r="J6" s="38">
        <v>0</v>
      </c>
      <c r="K6" s="38">
        <v>0</v>
      </c>
      <c r="L6" s="38">
        <v>0</v>
      </c>
      <c r="M6" s="250">
        <v>0</v>
      </c>
      <c r="N6" s="250">
        <v>0</v>
      </c>
      <c r="O6" s="302">
        <v>0</v>
      </c>
      <c r="P6" s="302">
        <v>0</v>
      </c>
      <c r="Q6" s="302">
        <v>2040169</v>
      </c>
      <c r="R6" s="302">
        <v>1415156</v>
      </c>
    </row>
    <row r="7" spans="1:18"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0">
        <v>33136741</v>
      </c>
      <c r="N7" s="250">
        <v>34540831</v>
      </c>
      <c r="O7" s="302">
        <v>34332625</v>
      </c>
      <c r="P7" s="302">
        <v>36500147</v>
      </c>
      <c r="Q7" s="302">
        <v>43389020</v>
      </c>
      <c r="R7" s="302">
        <v>44522921</v>
      </c>
    </row>
    <row r="8" spans="1:18" ht="15" customHeight="1">
      <c r="A8" s="58" t="s">
        <v>342</v>
      </c>
      <c r="B8" s="58" t="s">
        <v>352</v>
      </c>
      <c r="C8" s="38">
        <v>0</v>
      </c>
      <c r="D8" s="38">
        <v>0</v>
      </c>
      <c r="E8" s="38">
        <f t="shared" ref="E8:L8" si="2">E9</f>
        <v>1239118</v>
      </c>
      <c r="F8" s="38">
        <f t="shared" si="2"/>
        <v>1379839</v>
      </c>
      <c r="G8" s="38">
        <f t="shared" si="2"/>
        <v>1379839</v>
      </c>
      <c r="H8" s="38">
        <f t="shared" si="2"/>
        <v>82023</v>
      </c>
      <c r="I8" s="38">
        <f t="shared" si="2"/>
        <v>3279363</v>
      </c>
      <c r="J8" s="38">
        <f t="shared" si="2"/>
        <v>2299616</v>
      </c>
      <c r="K8" s="38">
        <f t="shared" si="2"/>
        <v>5999249</v>
      </c>
      <c r="L8" s="38">
        <f t="shared" si="2"/>
        <v>3214666</v>
      </c>
      <c r="M8" s="250">
        <f t="shared" ref="M8:R8" si="3">M9</f>
        <v>1939700</v>
      </c>
      <c r="N8" s="250">
        <f t="shared" si="3"/>
        <v>0</v>
      </c>
      <c r="O8" s="302">
        <f t="shared" si="3"/>
        <v>3849679</v>
      </c>
      <c r="P8" s="302">
        <f t="shared" si="3"/>
        <v>1499917</v>
      </c>
      <c r="Q8" s="302">
        <f t="shared" si="3"/>
        <v>599997</v>
      </c>
      <c r="R8" s="302">
        <f t="shared" si="3"/>
        <v>0</v>
      </c>
    </row>
    <row r="9" spans="1:18" ht="15" customHeight="1">
      <c r="A9" s="33" t="s">
        <v>343</v>
      </c>
      <c r="B9" s="33" t="s">
        <v>353</v>
      </c>
      <c r="C9" s="38">
        <v>0</v>
      </c>
      <c r="D9" s="38">
        <v>0</v>
      </c>
      <c r="E9" s="38">
        <v>1239118</v>
      </c>
      <c r="F9" s="42">
        <v>1379839</v>
      </c>
      <c r="G9" s="42">
        <v>1379839</v>
      </c>
      <c r="H9" s="38">
        <v>82023</v>
      </c>
      <c r="I9" s="38">
        <v>3279363</v>
      </c>
      <c r="J9" s="38">
        <v>2299616</v>
      </c>
      <c r="K9" s="38">
        <v>5999249</v>
      </c>
      <c r="L9" s="38">
        <v>3214666</v>
      </c>
      <c r="M9" s="250">
        <v>1939700</v>
      </c>
      <c r="N9" s="250">
        <v>0</v>
      </c>
      <c r="O9" s="302">
        <v>3849679</v>
      </c>
      <c r="P9" s="302">
        <v>1499917</v>
      </c>
      <c r="Q9" s="302">
        <v>599997</v>
      </c>
      <c r="R9" s="302">
        <v>0</v>
      </c>
    </row>
    <row r="10" spans="1:18" ht="15" customHeight="1">
      <c r="A10" s="57" t="s">
        <v>344</v>
      </c>
      <c r="B10" s="57" t="s">
        <v>354</v>
      </c>
      <c r="C10" s="38">
        <f>C11</f>
        <v>2030120</v>
      </c>
      <c r="D10" s="38">
        <f>D11</f>
        <v>2149873</v>
      </c>
      <c r="E10" s="38">
        <f>E11</f>
        <v>2162420</v>
      </c>
      <c r="F10" s="38">
        <f>F11</f>
        <v>2089741</v>
      </c>
      <c r="G10" s="38">
        <f t="shared" ref="G10:N10" si="4">G11</f>
        <v>2089741</v>
      </c>
      <c r="H10" s="38">
        <f t="shared" si="4"/>
        <v>2130263</v>
      </c>
      <c r="I10" s="38">
        <f t="shared" si="4"/>
        <v>2131693</v>
      </c>
      <c r="J10" s="38">
        <f t="shared" si="4"/>
        <v>2089119</v>
      </c>
      <c r="K10" s="38">
        <f t="shared" si="4"/>
        <v>1818672</v>
      </c>
      <c r="L10" s="38">
        <f t="shared" si="4"/>
        <v>2003010</v>
      </c>
      <c r="M10" s="250">
        <f t="shared" si="4"/>
        <v>2020675</v>
      </c>
      <c r="N10" s="250">
        <f t="shared" si="4"/>
        <v>2044743</v>
      </c>
      <c r="O10" s="302">
        <f>O11</f>
        <v>2066633</v>
      </c>
      <c r="P10" s="302">
        <f>P11</f>
        <v>2130472</v>
      </c>
      <c r="Q10" s="302">
        <f>Q11</f>
        <v>9770462</v>
      </c>
      <c r="R10" s="302">
        <f>R11</f>
        <v>14253940</v>
      </c>
    </row>
    <row r="11" spans="1:18"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0">
        <v>2020675</v>
      </c>
      <c r="N11" s="250">
        <v>2044743</v>
      </c>
      <c r="O11" s="302">
        <v>2066633</v>
      </c>
      <c r="P11" s="302">
        <v>2130472</v>
      </c>
      <c r="Q11" s="302">
        <v>9770462</v>
      </c>
      <c r="R11" s="302">
        <v>14253940</v>
      </c>
    </row>
    <row r="12" spans="1:18"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51">
        <v>177035</v>
      </c>
      <c r="N12" s="251">
        <v>187335</v>
      </c>
      <c r="O12" s="303">
        <v>194285</v>
      </c>
      <c r="P12" s="303">
        <v>181321</v>
      </c>
      <c r="Q12" s="303">
        <v>205854</v>
      </c>
      <c r="R12" s="303">
        <f>103259+436</f>
        <v>103695</v>
      </c>
    </row>
    <row r="13" spans="1:18" s="3" customFormat="1" ht="30" customHeight="1">
      <c r="A13" s="56" t="s">
        <v>688</v>
      </c>
      <c r="B13" s="59" t="s">
        <v>689</v>
      </c>
      <c r="C13" s="84"/>
      <c r="D13" s="84"/>
      <c r="E13" s="84"/>
      <c r="F13" s="63"/>
      <c r="G13" s="63"/>
      <c r="H13" s="63"/>
      <c r="I13" s="63"/>
      <c r="J13" s="63"/>
      <c r="K13" s="63"/>
      <c r="L13" s="63"/>
      <c r="M13" s="63"/>
      <c r="N13" s="63"/>
      <c r="O13" s="63"/>
      <c r="P13" s="63"/>
      <c r="Q13" s="63"/>
      <c r="R13" s="63">
        <f>R14</f>
        <v>105973</v>
      </c>
    </row>
    <row r="14" spans="1:18" s="451" customFormat="1" ht="15" customHeight="1">
      <c r="A14" s="183" t="s">
        <v>348</v>
      </c>
      <c r="B14" s="33" t="s">
        <v>359</v>
      </c>
      <c r="C14" s="452"/>
      <c r="D14" s="452"/>
      <c r="E14" s="452"/>
      <c r="F14" s="38"/>
      <c r="G14" s="38"/>
      <c r="H14" s="38"/>
      <c r="I14" s="38"/>
      <c r="J14" s="38"/>
      <c r="K14" s="38"/>
      <c r="L14" s="38"/>
      <c r="M14" s="38"/>
      <c r="N14" s="38"/>
      <c r="O14" s="38"/>
      <c r="P14" s="38"/>
      <c r="Q14" s="38"/>
      <c r="R14" s="38">
        <v>105973</v>
      </c>
    </row>
    <row r="15" spans="1:18" ht="30" customHeight="1">
      <c r="A15" s="59" t="s">
        <v>346</v>
      </c>
      <c r="B15" s="59" t="s">
        <v>357</v>
      </c>
      <c r="C15" s="84"/>
      <c r="D15" s="84"/>
      <c r="E15" s="84"/>
      <c r="F15" s="63"/>
      <c r="G15" s="63">
        <f>G17+G18</f>
        <v>812620</v>
      </c>
      <c r="H15" s="63">
        <f t="shared" ref="H15:M15" si="5">H17+H18</f>
        <v>811584</v>
      </c>
      <c r="I15" s="63">
        <f t="shared" si="5"/>
        <v>843573</v>
      </c>
      <c r="J15" s="63">
        <f t="shared" si="5"/>
        <v>841340</v>
      </c>
      <c r="K15" s="63">
        <f t="shared" si="5"/>
        <v>821538</v>
      </c>
      <c r="L15" s="63">
        <f t="shared" si="5"/>
        <v>817717</v>
      </c>
      <c r="M15" s="336">
        <f t="shared" si="5"/>
        <v>807301</v>
      </c>
      <c r="N15" s="336">
        <f>N17+N18</f>
        <v>808758</v>
      </c>
      <c r="O15" s="335">
        <f>O17+O18</f>
        <v>884912</v>
      </c>
      <c r="P15" s="335">
        <f>P17+P18</f>
        <v>881236</v>
      </c>
      <c r="Q15" s="335">
        <f>Q17+Q18</f>
        <v>801440</v>
      </c>
      <c r="R15" s="335">
        <f>R17+R18</f>
        <v>808264</v>
      </c>
    </row>
    <row r="16" spans="1:18" s="3" customFormat="1">
      <c r="A16" s="59" t="s">
        <v>393</v>
      </c>
      <c r="B16" s="59" t="s">
        <v>621</v>
      </c>
      <c r="C16" s="63">
        <f>C17+C18</f>
        <v>878321</v>
      </c>
      <c r="D16" s="63">
        <f>D17+D18</f>
        <v>888437</v>
      </c>
      <c r="E16" s="63">
        <f>E17+E18</f>
        <v>914701</v>
      </c>
      <c r="F16" s="63">
        <f>F17+F18</f>
        <v>920879</v>
      </c>
      <c r="G16" s="63"/>
      <c r="H16" s="63"/>
      <c r="I16" s="63"/>
      <c r="J16" s="63"/>
      <c r="K16" s="63"/>
      <c r="L16" s="63"/>
      <c r="M16" s="251"/>
      <c r="N16" s="251"/>
      <c r="O16" s="303"/>
      <c r="P16" s="303"/>
      <c r="Q16" s="303"/>
      <c r="R16" s="303"/>
    </row>
    <row r="17" spans="1:21" ht="15" customHeight="1">
      <c r="A17" s="33" t="s">
        <v>347</v>
      </c>
      <c r="B17" s="33" t="s">
        <v>358</v>
      </c>
      <c r="C17" s="38">
        <v>22970</v>
      </c>
      <c r="D17" s="38">
        <v>22405</v>
      </c>
      <c r="E17" s="38">
        <v>22093</v>
      </c>
      <c r="F17" s="38">
        <v>19329</v>
      </c>
      <c r="G17" s="38">
        <v>19329</v>
      </c>
      <c r="H17" s="38">
        <v>19663</v>
      </c>
      <c r="I17" s="38">
        <v>18663</v>
      </c>
      <c r="J17" s="38">
        <v>16297</v>
      </c>
      <c r="K17" s="38">
        <v>16720</v>
      </c>
      <c r="L17" s="38">
        <v>12897</v>
      </c>
      <c r="M17" s="250">
        <v>13997</v>
      </c>
      <c r="N17" s="250">
        <v>15164</v>
      </c>
      <c r="O17" s="302">
        <v>19996</v>
      </c>
      <c r="P17" s="302">
        <v>16280</v>
      </c>
      <c r="Q17" s="302">
        <v>19996</v>
      </c>
      <c r="R17" s="302">
        <v>24328</v>
      </c>
    </row>
    <row r="18" spans="1:21" ht="15" customHeight="1">
      <c r="A18" s="57" t="s">
        <v>348</v>
      </c>
      <c r="B18" s="57" t="s">
        <v>359</v>
      </c>
      <c r="C18" s="38">
        <v>855351</v>
      </c>
      <c r="D18" s="38">
        <v>866032</v>
      </c>
      <c r="E18" s="38">
        <v>892608</v>
      </c>
      <c r="F18" s="38">
        <v>901550</v>
      </c>
      <c r="G18" s="38">
        <v>793291</v>
      </c>
      <c r="H18" s="38">
        <v>791921</v>
      </c>
      <c r="I18" s="38">
        <v>824910</v>
      </c>
      <c r="J18" s="38">
        <v>825043</v>
      </c>
      <c r="K18" s="38">
        <v>804818</v>
      </c>
      <c r="L18" s="38">
        <v>804820</v>
      </c>
      <c r="M18" s="250">
        <v>793304</v>
      </c>
      <c r="N18" s="250">
        <v>793594</v>
      </c>
      <c r="O18" s="302">
        <v>864916</v>
      </c>
      <c r="P18" s="302">
        <v>864956</v>
      </c>
      <c r="Q18" s="302">
        <v>781444</v>
      </c>
      <c r="R18" s="302">
        <v>783936</v>
      </c>
    </row>
    <row r="19" spans="1:21" ht="15" customHeight="1">
      <c r="A19" s="35" t="s">
        <v>58</v>
      </c>
      <c r="B19" s="35" t="s">
        <v>43</v>
      </c>
      <c r="C19" s="191">
        <f>C4+C16</f>
        <v>25090751</v>
      </c>
      <c r="D19" s="191">
        <f>D4+D16</f>
        <v>25072507</v>
      </c>
      <c r="E19" s="191">
        <f>E4+E16</f>
        <v>25926495</v>
      </c>
      <c r="F19" s="191">
        <f>F4+F16</f>
        <v>26905088</v>
      </c>
      <c r="G19" s="192">
        <f>G3+G12+G15</f>
        <v>26889994</v>
      </c>
      <c r="H19" s="192">
        <f>H3+H12+H15</f>
        <v>27661682</v>
      </c>
      <c r="I19" s="192">
        <f>I3+I12+I13+I15</f>
        <v>33527451</v>
      </c>
      <c r="J19" s="192">
        <f t="shared" ref="J19:R19" si="6">J3+J12+J13+J15</f>
        <v>33986072</v>
      </c>
      <c r="K19" s="192">
        <f t="shared" si="6"/>
        <v>37844506</v>
      </c>
      <c r="L19" s="192">
        <f t="shared" si="6"/>
        <v>37976558</v>
      </c>
      <c r="M19" s="192">
        <f t="shared" si="6"/>
        <v>38081452</v>
      </c>
      <c r="N19" s="192">
        <f t="shared" si="6"/>
        <v>37581667</v>
      </c>
      <c r="O19" s="192">
        <f t="shared" si="6"/>
        <v>41328134</v>
      </c>
      <c r="P19" s="192">
        <f t="shared" si="6"/>
        <v>41193093</v>
      </c>
      <c r="Q19" s="192">
        <f t="shared" si="6"/>
        <v>56806942</v>
      </c>
      <c r="R19" s="192">
        <f t="shared" si="6"/>
        <v>61209949</v>
      </c>
    </row>
    <row r="20" spans="1:21" s="3" customFormat="1">
      <c r="B20" s="189"/>
      <c r="C20" s="337">
        <f>C19-BS!D11</f>
        <v>0</v>
      </c>
      <c r="D20" s="337">
        <f>D19-BS!E11</f>
        <v>0</v>
      </c>
      <c r="E20" s="337">
        <f>E19-BS!F11</f>
        <v>0</v>
      </c>
      <c r="F20" s="337">
        <f>F19-BS!G11</f>
        <v>0</v>
      </c>
      <c r="G20" s="337">
        <f>BS!H12-G19</f>
        <v>0</v>
      </c>
      <c r="H20" s="337">
        <f>H19-BS!I12</f>
        <v>0</v>
      </c>
      <c r="I20" s="337">
        <f>I19-BS!J12</f>
        <v>0</v>
      </c>
      <c r="J20" s="337">
        <f>J19-BS!K12</f>
        <v>0</v>
      </c>
      <c r="K20" s="337">
        <f>K19-BS!L12</f>
        <v>0</v>
      </c>
      <c r="L20" s="337">
        <f>L19-BS!M12</f>
        <v>0</v>
      </c>
      <c r="M20" s="337">
        <f>M19-BS!N12</f>
        <v>0</v>
      </c>
      <c r="N20" s="337">
        <f>N19-BS!O12</f>
        <v>0</v>
      </c>
      <c r="O20" s="337">
        <f>O19-BS!P12</f>
        <v>0</v>
      </c>
      <c r="P20" s="190">
        <f>BS!Q12-P19</f>
        <v>0</v>
      </c>
      <c r="Q20" s="190">
        <f>BS!R12-Q19</f>
        <v>0</v>
      </c>
      <c r="R20" s="190">
        <f>BS!S12-R19</f>
        <v>0</v>
      </c>
      <c r="S20" s="189"/>
      <c r="T20" s="189"/>
      <c r="U20" s="189"/>
    </row>
    <row r="21" spans="1:21" s="3" customFormat="1">
      <c r="B21" s="189"/>
      <c r="C21" s="189"/>
      <c r="D21" s="190"/>
      <c r="E21" s="189"/>
      <c r="F21" s="190"/>
      <c r="G21" s="245">
        <f>G20-G19</f>
        <v>-26889994</v>
      </c>
      <c r="H21" s="190"/>
      <c r="I21" s="190"/>
      <c r="J21" s="330"/>
      <c r="K21" s="189"/>
      <c r="L21" s="189"/>
      <c r="M21" s="189"/>
      <c r="N21" s="189"/>
      <c r="O21" s="189"/>
      <c r="P21" s="189"/>
      <c r="Q21" s="189"/>
      <c r="R21" s="189"/>
      <c r="S21" s="189"/>
      <c r="T21" s="189"/>
      <c r="U21" s="189"/>
    </row>
    <row r="22" spans="1:21">
      <c r="B22" s="189"/>
      <c r="C22" s="189"/>
      <c r="D22" s="190"/>
      <c r="E22" s="190"/>
      <c r="F22" s="190"/>
      <c r="G22" s="245"/>
      <c r="H22" s="190"/>
      <c r="I22" s="190"/>
      <c r="J22" s="190"/>
      <c r="K22" s="190"/>
      <c r="L22" s="190"/>
      <c r="M22" s="190"/>
      <c r="N22" s="190"/>
      <c r="O22" s="190"/>
      <c r="P22" s="189"/>
      <c r="Q22" s="189"/>
      <c r="R22" s="189"/>
      <c r="S22" s="189"/>
      <c r="T22" s="189"/>
      <c r="U22" s="189"/>
    </row>
    <row r="23" spans="1:21">
      <c r="B23" s="189"/>
      <c r="C23" s="189"/>
      <c r="D23" s="189"/>
      <c r="E23" s="189"/>
      <c r="F23" s="189"/>
      <c r="G23" s="334"/>
      <c r="H23" s="189"/>
      <c r="I23" s="189"/>
      <c r="J23" s="189"/>
      <c r="K23" s="189"/>
      <c r="L23" s="189"/>
      <c r="M23" s="189"/>
      <c r="N23" s="189"/>
      <c r="O23" s="189"/>
      <c r="P23" s="189"/>
      <c r="Q23" s="189"/>
      <c r="R23" s="189"/>
      <c r="S23" s="189"/>
      <c r="T23" s="189"/>
      <c r="U23" s="189"/>
    </row>
    <row r="24" spans="1:21" ht="15.75">
      <c r="B24" s="189"/>
      <c r="C24" s="189"/>
      <c r="D24" s="189"/>
      <c r="E24" s="189"/>
      <c r="F24" s="189"/>
      <c r="G24" s="297">
        <v>25984209</v>
      </c>
      <c r="H24" s="189"/>
      <c r="I24" s="189"/>
      <c r="J24" s="189"/>
      <c r="K24" s="189"/>
      <c r="L24" s="189"/>
      <c r="M24" s="189"/>
      <c r="N24" s="189"/>
      <c r="O24" s="189"/>
      <c r="P24" s="189"/>
      <c r="Q24" s="189"/>
      <c r="R24" s="189"/>
      <c r="S24" s="189"/>
      <c r="T24" s="189"/>
      <c r="U24" s="189"/>
    </row>
    <row r="25" spans="1:21" ht="15.75">
      <c r="B25" s="189"/>
      <c r="C25" s="189"/>
      <c r="D25" s="189"/>
      <c r="E25" s="189"/>
      <c r="F25" s="189"/>
      <c r="G25" s="297">
        <v>93165</v>
      </c>
      <c r="H25" s="189"/>
      <c r="I25" s="189"/>
      <c r="J25" s="189"/>
      <c r="K25" s="189"/>
      <c r="L25" s="189"/>
      <c r="M25" s="189"/>
      <c r="N25" s="189"/>
      <c r="O25" s="189"/>
      <c r="P25" s="189"/>
      <c r="Q25" s="189"/>
      <c r="R25" s="189"/>
      <c r="S25" s="189"/>
      <c r="T25" s="189"/>
      <c r="U25" s="189"/>
    </row>
    <row r="26" spans="1:21" ht="15.75">
      <c r="B26" s="189"/>
      <c r="C26" s="189"/>
      <c r="D26" s="189"/>
      <c r="E26" s="189"/>
      <c r="F26" s="189"/>
      <c r="G26" s="297">
        <v>812620</v>
      </c>
      <c r="H26" s="189"/>
      <c r="I26" s="189"/>
      <c r="J26" s="190"/>
      <c r="K26" s="189"/>
      <c r="L26" s="189"/>
      <c r="M26" s="189"/>
      <c r="N26" s="189"/>
      <c r="O26" s="189"/>
      <c r="P26" s="189"/>
      <c r="Q26" s="189"/>
      <c r="R26" s="189"/>
      <c r="S26" s="189"/>
      <c r="T26" s="189"/>
      <c r="U26" s="189"/>
    </row>
    <row r="27" spans="1:21">
      <c r="C27" s="189"/>
      <c r="D27" s="189"/>
      <c r="E27" s="189"/>
      <c r="F27" s="189"/>
      <c r="G27" s="334"/>
      <c r="H27" s="189"/>
      <c r="I27" s="189"/>
      <c r="J27" s="190"/>
      <c r="K27" s="189"/>
      <c r="L27" s="189"/>
      <c r="M27" s="189"/>
      <c r="N27" s="189"/>
      <c r="O27" s="189"/>
      <c r="P27" s="320"/>
    </row>
    <row r="28" spans="1:21">
      <c r="C28" s="189"/>
      <c r="D28" s="189"/>
      <c r="E28" s="189"/>
      <c r="F28" s="189"/>
      <c r="G28" s="334"/>
      <c r="H28" s="189"/>
      <c r="I28" s="189"/>
      <c r="J28" s="189"/>
      <c r="K28" s="189"/>
      <c r="L28" s="189"/>
      <c r="M28" s="189"/>
      <c r="N28" s="189"/>
      <c r="O28" s="189"/>
      <c r="P28" s="320"/>
    </row>
    <row r="29" spans="1:21">
      <c r="C29" s="189"/>
      <c r="D29" s="189"/>
      <c r="E29" s="189"/>
      <c r="F29" s="189"/>
      <c r="G29" s="189"/>
      <c r="H29" s="189"/>
      <c r="I29" s="189"/>
      <c r="J29" s="189"/>
      <c r="K29" s="189"/>
      <c r="L29" s="189"/>
      <c r="M29" s="189"/>
      <c r="N29" s="189"/>
      <c r="O29" s="189"/>
      <c r="P29" s="320"/>
    </row>
    <row r="30" spans="1:21">
      <c r="C30" s="189"/>
      <c r="D30" s="189"/>
      <c r="E30" s="189"/>
      <c r="F30" s="189"/>
      <c r="G30" s="189"/>
      <c r="H30" s="189"/>
      <c r="I30" s="189"/>
      <c r="J30" s="189"/>
      <c r="K30" s="189"/>
      <c r="L30" s="189"/>
      <c r="M30" s="189"/>
      <c r="N30" s="189"/>
      <c r="O30" s="189"/>
      <c r="P30" s="320"/>
    </row>
    <row r="31" spans="1:21">
      <c r="C31" s="189"/>
      <c r="D31" s="189"/>
      <c r="E31" s="189"/>
      <c r="F31" s="189"/>
      <c r="G31" s="189"/>
      <c r="H31" s="189"/>
      <c r="I31" s="189"/>
      <c r="J31" s="189"/>
      <c r="K31" s="189"/>
      <c r="L31" s="189"/>
      <c r="M31" s="189"/>
      <c r="N31" s="189"/>
      <c r="O31" s="189"/>
      <c r="P31" s="320"/>
    </row>
    <row r="32" spans="1:21">
      <c r="C32" s="189"/>
      <c r="D32" s="189"/>
      <c r="E32" s="189"/>
      <c r="F32" s="189"/>
      <c r="G32" s="189"/>
      <c r="H32" s="189"/>
      <c r="I32" s="189"/>
      <c r="J32" s="189"/>
      <c r="K32" s="189"/>
      <c r="L32" s="189"/>
      <c r="M32" s="189"/>
      <c r="N32" s="189"/>
      <c r="O32" s="189"/>
    </row>
    <row r="33" spans="3:15">
      <c r="C33" s="189"/>
      <c r="D33" s="189"/>
      <c r="E33" s="189"/>
      <c r="F33" s="189"/>
      <c r="G33" s="189"/>
      <c r="H33" s="189"/>
      <c r="I33" s="189"/>
      <c r="J33" s="189"/>
      <c r="K33" s="189"/>
      <c r="L33" s="189"/>
      <c r="M33" s="189"/>
      <c r="N33" s="189"/>
      <c r="O33" s="189"/>
    </row>
  </sheetData>
  <customSheetViews>
    <customSheetView guid="{8FDDB7D7-275F-4F23-B770-BAF5AFA4F358}">
      <pane xSplit="2" ySplit="2" topLeftCell="C3" activePane="bottomRight" state="frozen"/>
      <selection pane="bottomRight" activeCell="C3" sqref="C3"/>
      <pageMargins left="0.7" right="0.7" top="0.75" bottom="0.75" header="0.3" footer="0.3"/>
    </customSheetView>
    <customSheetView guid="{12F8D032-8143-430B-8DFF-852E8796C402}">
      <selection activeCell="B3" sqref="B3"/>
      <pageMargins left="0.7" right="0.7" top="0.75" bottom="0.75" header="0.3" footer="0.3"/>
    </customSheetView>
    <customSheetView guid="{687A4863-1825-4D63-B732-E76682E6DE4F}" scale="4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1"/>
    </customSheetView>
    <customSheetView guid="{8DA78CF1-615A-4626-9893-6751995631A4}" scale="42">
      <selection activeCell="B3" sqref="B3"/>
      <pageMargins left="0.7" right="0.7" top="0.75" bottom="0.75" header="0.3" footer="0.3"/>
    </customSheetView>
    <customSheetView guid="{25FAB884-5E17-4008-8139-33D910C7DEFE}" topLeftCell="B1">
      <selection activeCell="H31" sqref="H31"/>
      <pageMargins left="0.7" right="0.7" top="0.75" bottom="0.75" header="0.3" footer="0.3"/>
    </customSheetView>
    <customSheetView guid="{899D69CD-4B7E-42BC-9944-5BD922EB798C}" topLeftCell="I1">
      <selection activeCell="H12" sqref="H12"/>
      <pageMargins left="0.7" right="0.7" top="0.75" bottom="0.75" header="0.3" footer="0.3"/>
    </customSheetView>
    <customSheetView guid="{9AF4A83C-CF57-4B40-8A74-6A0EA6C2FE5C}" hiddenColumns="1">
      <selection activeCell="P23" sqref="P23"/>
      <pageMargins left="0.7" right="0.7" top="0.75" bottom="0.75" header="0.3" footer="0.3"/>
      <pageSetup paperSize="9" orientation="portrait" horizontalDpi="1200" verticalDpi="1200" r:id="rId2"/>
    </customSheetView>
    <customSheetView guid="{746490BF-9C44-4B41-8803-BEC9E453576A}">
      <pane xSplit="2" ySplit="2" topLeftCell="C3" activePane="bottomRight" state="frozen"/>
      <selection pane="bottomRight" activeCell="C3" sqref="C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Jakość należności od klientów </vt:lpstr>
      <vt:lpstr>Arkusz2</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Ginter Kamila</cp:lastModifiedBy>
  <cp:lastPrinted>2019-10-28T11:13:56Z</cp:lastPrinted>
  <dcterms:created xsi:type="dcterms:W3CDTF">2013-02-26T14:06:48Z</dcterms:created>
  <dcterms:modified xsi:type="dcterms:W3CDTF">2021-05-13T11:28:24Z</dcterms:modified>
</cp:coreProperties>
</file>